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yabus\Desktop\"/>
    </mc:Choice>
  </mc:AlternateContent>
  <xr:revisionPtr revIDLastSave="0" documentId="13_ncr:1_{AD45BC19-F37E-4123-A916-600D743B9532}" xr6:coauthVersionLast="36" xr6:coauthVersionMax="36" xr10:uidLastSave="{00000000-0000-0000-0000-000000000000}"/>
  <bookViews>
    <workbookView xWindow="0" yWindow="0" windowWidth="21570" windowHeight="9330" firstSheet="3" activeTab="3" xr2:uid="{00000000-000D-0000-FFFF-FFFF00000000}"/>
  </bookViews>
  <sheets>
    <sheet name="Degrees and Certificates Earned" sheetId="1" r:id="rId1"/>
    <sheet name="Cohort Grad Rates" sheetId="3" r:id="rId2"/>
    <sheet name="Transfers to UH 4 Year Institut" sheetId="2" r:id="rId3"/>
    <sheet name="Cohort Transfer" sheetId="4" r:id="rId4"/>
    <sheet name="Fall to Subsequent Fall Re" sheetId="6" r:id="rId5"/>
    <sheet name="Fall To Spring Reenrollments" sheetId="5" r:id="rId6"/>
    <sheet name="Fall Course Completion" sheetId="7" r:id="rId7"/>
    <sheet name="Spring Course Completions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2" i="8" l="1"/>
  <c r="AA12" i="8"/>
  <c r="Z12" i="8"/>
  <c r="Y12" i="8"/>
  <c r="W12" i="8"/>
  <c r="P12" i="8"/>
  <c r="O12" i="8"/>
  <c r="N12" i="8"/>
  <c r="M12" i="8"/>
  <c r="K12" i="8"/>
  <c r="J12" i="8"/>
  <c r="I12" i="8"/>
  <c r="H12" i="8"/>
  <c r="G12" i="8"/>
  <c r="V12" i="8"/>
  <c r="S12" i="8"/>
  <c r="AH12" i="8"/>
  <c r="AE12" i="8"/>
  <c r="AC12" i="8"/>
  <c r="T11" i="6"/>
  <c r="P11" i="6"/>
  <c r="L11" i="6"/>
  <c r="H11" i="6"/>
  <c r="X11" i="6"/>
  <c r="P12" i="4"/>
  <c r="J12" i="4"/>
  <c r="G12" i="4"/>
  <c r="S12" i="4"/>
  <c r="N11" i="3"/>
  <c r="H11" i="3"/>
  <c r="E11" i="3"/>
  <c r="Q11" i="3"/>
  <c r="S11" i="5" l="1"/>
  <c r="G11" i="5"/>
  <c r="W11" i="5"/>
  <c r="K11" i="5"/>
  <c r="AB15" i="7"/>
  <c r="P15" i="7"/>
  <c r="N15" i="7"/>
  <c r="E15" i="7"/>
  <c r="AH8" i="8" l="1"/>
  <c r="AH9" i="8"/>
  <c r="AH7" i="8"/>
  <c r="AE8" i="8"/>
  <c r="AE9" i="8"/>
  <c r="AE11" i="8"/>
  <c r="AE7" i="8"/>
  <c r="AB8" i="8"/>
  <c r="AB9" i="8"/>
  <c r="AB11" i="8"/>
  <c r="AB7" i="8"/>
  <c r="Y8" i="8"/>
  <c r="Y9" i="8"/>
  <c r="Y11" i="8"/>
  <c r="Y7" i="8"/>
  <c r="V8" i="8"/>
  <c r="V9" i="8"/>
  <c r="V11" i="8"/>
  <c r="V7" i="8"/>
  <c r="S8" i="8"/>
  <c r="S9" i="8"/>
  <c r="S10" i="8"/>
  <c r="S11" i="8"/>
  <c r="S7" i="8"/>
  <c r="AH11" i="7"/>
  <c r="AH12" i="7"/>
  <c r="AH13" i="7"/>
  <c r="AH10" i="7"/>
  <c r="AE11" i="7"/>
  <c r="AE12" i="7"/>
  <c r="AE13" i="7"/>
  <c r="AE10" i="7"/>
  <c r="AB11" i="7"/>
  <c r="AB12" i="7"/>
  <c r="AB10" i="7"/>
  <c r="Y11" i="7"/>
  <c r="Y12" i="7"/>
  <c r="Y10" i="7"/>
  <c r="V11" i="7"/>
  <c r="V12" i="7"/>
  <c r="V13" i="7"/>
  <c r="V10" i="7"/>
  <c r="S11" i="7"/>
  <c r="S12" i="7"/>
  <c r="S10" i="7"/>
  <c r="P11" i="7"/>
  <c r="P12" i="7"/>
  <c r="P10" i="7"/>
  <c r="M11" i="7"/>
  <c r="M12" i="7"/>
  <c r="M10" i="7"/>
  <c r="J11" i="7"/>
  <c r="J12" i="7"/>
  <c r="J10" i="7"/>
  <c r="G11" i="7"/>
  <c r="G12" i="7"/>
  <c r="G10" i="7"/>
  <c r="H10" i="6"/>
  <c r="S8" i="4"/>
  <c r="S9" i="4"/>
  <c r="S10" i="4"/>
  <c r="S11" i="4"/>
  <c r="S7" i="4"/>
  <c r="P8" i="4"/>
  <c r="P9" i="4"/>
  <c r="P10" i="4"/>
  <c r="P11" i="4"/>
  <c r="P7" i="4"/>
  <c r="J8" i="4"/>
  <c r="J9" i="4"/>
  <c r="J10" i="4"/>
  <c r="J11" i="4"/>
  <c r="J7" i="4"/>
  <c r="G8" i="4"/>
  <c r="G9" i="4"/>
  <c r="G10" i="4"/>
  <c r="G11" i="4"/>
  <c r="G7" i="4"/>
  <c r="Q7" i="3"/>
  <c r="Q8" i="3"/>
  <c r="Q9" i="3"/>
  <c r="Q10" i="3"/>
  <c r="Q6" i="3"/>
  <c r="N7" i="3"/>
  <c r="N8" i="3"/>
  <c r="N9" i="3"/>
  <c r="N10" i="3"/>
  <c r="N6" i="3"/>
  <c r="H7" i="3"/>
  <c r="H8" i="3"/>
  <c r="H9" i="3"/>
  <c r="H10" i="3"/>
  <c r="H6" i="3"/>
  <c r="E7" i="3"/>
  <c r="E8" i="3"/>
  <c r="E9" i="3"/>
  <c r="E10" i="3"/>
  <c r="E6" i="3"/>
  <c r="O7" i="5"/>
  <c r="O9" i="5"/>
  <c r="O5" i="5"/>
  <c r="L10" i="6"/>
  <c r="P10" i="6"/>
  <c r="T10" i="6"/>
  <c r="X10" i="6"/>
  <c r="AF11" i="8"/>
  <c r="AH11" i="8" s="1"/>
  <c r="R9" i="6"/>
  <c r="T9" i="6" s="1"/>
  <c r="U5" i="5" l="1"/>
  <c r="W5" i="5" s="1"/>
  <c r="U7" i="5"/>
  <c r="W7" i="5" s="1"/>
  <c r="U6" i="5"/>
  <c r="W6" i="5" s="1"/>
  <c r="U8" i="5"/>
  <c r="W8" i="5" s="1"/>
  <c r="U9" i="5"/>
  <c r="W9" i="5" s="1"/>
  <c r="U10" i="5"/>
  <c r="W10" i="5" s="1"/>
  <c r="M10" i="5"/>
  <c r="O10" i="5" s="1"/>
  <c r="M8" i="5"/>
  <c r="O8" i="5" s="1"/>
  <c r="M6" i="5"/>
  <c r="O6" i="5" s="1"/>
  <c r="I5" i="5"/>
  <c r="K5" i="5" s="1"/>
  <c r="I6" i="5"/>
  <c r="K6" i="5" s="1"/>
  <c r="I7" i="5"/>
  <c r="K7" i="5" s="1"/>
  <c r="I8" i="5"/>
  <c r="K8" i="5" s="1"/>
  <c r="I9" i="5"/>
  <c r="K9" i="5" s="1"/>
  <c r="I10" i="5"/>
  <c r="K10" i="5" s="1"/>
  <c r="E10" i="5"/>
  <c r="G10" i="5" s="1"/>
  <c r="E9" i="5"/>
  <c r="G9" i="5" s="1"/>
  <c r="E8" i="5"/>
  <c r="G8" i="5" s="1"/>
  <c r="E7" i="5"/>
  <c r="G7" i="5" s="1"/>
  <c r="E6" i="5"/>
  <c r="G6" i="5" s="1"/>
  <c r="E5" i="5"/>
  <c r="G5" i="5" s="1"/>
  <c r="Q7" i="5"/>
  <c r="S7" i="5" s="1"/>
  <c r="Q6" i="5"/>
  <c r="S6" i="5" s="1"/>
  <c r="Q5" i="5"/>
  <c r="S5" i="5" s="1"/>
  <c r="Q10" i="5"/>
  <c r="S10" i="5" s="1"/>
  <c r="Q8" i="5"/>
  <c r="S8" i="5" s="1"/>
  <c r="Q9" i="5"/>
  <c r="S9" i="5" s="1"/>
  <c r="R8" i="6"/>
  <c r="T8" i="6" s="1"/>
  <c r="R7" i="6"/>
  <c r="T7" i="6" s="1"/>
  <c r="R6" i="6"/>
  <c r="T6" i="6" s="1"/>
  <c r="R5" i="6"/>
  <c r="T5" i="6" s="1"/>
  <c r="N5" i="6"/>
  <c r="P5" i="6" s="1"/>
  <c r="N6" i="6"/>
  <c r="P6" i="6" s="1"/>
  <c r="N7" i="6"/>
  <c r="P7" i="6" s="1"/>
  <c r="N8" i="6"/>
  <c r="P8" i="6" s="1"/>
  <c r="N9" i="6"/>
  <c r="P9" i="6" s="1"/>
  <c r="J9" i="6"/>
  <c r="L9" i="6" s="1"/>
  <c r="J8" i="6"/>
  <c r="L8" i="6" s="1"/>
  <c r="J7" i="6"/>
  <c r="L7" i="6" s="1"/>
  <c r="J6" i="6"/>
  <c r="L6" i="6" s="1"/>
  <c r="J5" i="6"/>
  <c r="L5" i="6" s="1"/>
  <c r="F5" i="6"/>
  <c r="H5" i="6" s="1"/>
  <c r="F6" i="6"/>
  <c r="H6" i="6" s="1"/>
  <c r="F7" i="6"/>
  <c r="H7" i="6" s="1"/>
  <c r="F8" i="6"/>
  <c r="H8" i="6" s="1"/>
  <c r="F9" i="6"/>
  <c r="H9" i="6" s="1"/>
  <c r="V9" i="6"/>
  <c r="X9" i="6" s="1"/>
  <c r="V8" i="6"/>
  <c r="X8" i="6" s="1"/>
  <c r="V6" i="6"/>
  <c r="X6" i="6" s="1"/>
  <c r="V5" i="6"/>
  <c r="V7" i="6"/>
  <c r="X7" i="6" s="1"/>
  <c r="X5" i="6" l="1"/>
  <c r="AF14" i="7"/>
  <c r="AH14" i="7" s="1"/>
  <c r="AC14" i="7"/>
  <c r="AE14" i="7" s="1"/>
  <c r="Z14" i="7"/>
  <c r="AB14" i="7" s="1"/>
  <c r="W14" i="7"/>
  <c r="Y14" i="7" s="1"/>
  <c r="T14" i="7"/>
  <c r="V14" i="7" s="1"/>
  <c r="Q14" i="7"/>
  <c r="S14" i="7" s="1"/>
  <c r="N14" i="7"/>
  <c r="P14" i="7" s="1"/>
  <c r="L14" i="7"/>
  <c r="M14" i="7" s="1"/>
  <c r="K14" i="7"/>
  <c r="H14" i="7"/>
  <c r="J14" i="7" s="1"/>
  <c r="E14" i="7"/>
  <c r="G14" i="7" s="1"/>
  <c r="Z10" i="8" l="1"/>
  <c r="AB10" i="8" s="1"/>
  <c r="W10" i="8"/>
  <c r="Y10" i="8" s="1"/>
  <c r="T10" i="8"/>
  <c r="V10" i="8" s="1"/>
  <c r="N10" i="8"/>
  <c r="K10" i="8"/>
  <c r="H10" i="8"/>
  <c r="E10" i="8"/>
  <c r="AF10" i="8"/>
  <c r="AH10" i="8" s="1"/>
  <c r="AC10" i="8"/>
  <c r="AE10" i="8" s="1"/>
  <c r="Z13" i="7" l="1"/>
  <c r="AB13" i="7" s="1"/>
  <c r="W13" i="7"/>
  <c r="Y13" i="7" s="1"/>
  <c r="R13" i="7"/>
  <c r="Q13" i="7"/>
  <c r="N13" i="7"/>
  <c r="P13" i="7" s="1"/>
  <c r="K13" i="7"/>
  <c r="M13" i="7" s="1"/>
  <c r="H13" i="7"/>
  <c r="J13" i="7" s="1"/>
  <c r="E13" i="7"/>
  <c r="G13" i="7" s="1"/>
  <c r="S13" i="7" l="1"/>
</calcChain>
</file>

<file path=xl/sharedStrings.xml><?xml version="1.0" encoding="utf-8"?>
<sst xmlns="http://schemas.openxmlformats.org/spreadsheetml/2006/main" count="242" uniqueCount="43">
  <si>
    <t>Fiscal Year</t>
  </si>
  <si>
    <t>2015-2016</t>
  </si>
  <si>
    <t>2016-2017</t>
  </si>
  <si>
    <t>2017-2018</t>
  </si>
  <si>
    <t>2018-2019</t>
  </si>
  <si>
    <t>Filipino</t>
  </si>
  <si>
    <t>Pacific Islander</t>
  </si>
  <si>
    <t>Pell</t>
  </si>
  <si>
    <t>Native Hawaiian</t>
  </si>
  <si>
    <t>Degrees and Certificates Earned</t>
  </si>
  <si>
    <t>&lt;5</t>
  </si>
  <si>
    <t>Transfers to UH 4 Year Institutions</t>
  </si>
  <si>
    <t xml:space="preserve"> 2016-2017</t>
  </si>
  <si>
    <t xml:space="preserve"> 2017-2018</t>
  </si>
  <si>
    <t xml:space="preserve"> 2018-2019</t>
  </si>
  <si>
    <t xml:space="preserve"> 2019-2020</t>
  </si>
  <si>
    <t>Count</t>
  </si>
  <si>
    <t>%</t>
  </si>
  <si>
    <t>Cohort</t>
  </si>
  <si>
    <t>Awards</t>
  </si>
  <si>
    <t>*</t>
  </si>
  <si>
    <t>Degrees and Certificates of Achievement Earned by Fall Kapi`olani Community College Cohorts Within Three Academic Years</t>
  </si>
  <si>
    <t>Fall Semester Cohort</t>
  </si>
  <si>
    <t>All Students</t>
  </si>
  <si>
    <t>Fall to Subsequent Spring Reenrollment</t>
  </si>
  <si>
    <t>Fall Headcount</t>
  </si>
  <si>
    <t>Reenrolled Subsequent Spring</t>
  </si>
  <si>
    <t>% Reenrolled</t>
  </si>
  <si>
    <t>Fall</t>
  </si>
  <si>
    <t>All Attempted Courses</t>
  </si>
  <si>
    <t>Successful Courses</t>
  </si>
  <si>
    <t>Course Success %</t>
  </si>
  <si>
    <t>College Level Courses Attempted</t>
  </si>
  <si>
    <t>Successful College Level Courses</t>
  </si>
  <si>
    <t>College Level Course Success %</t>
  </si>
  <si>
    <t>Sp</t>
  </si>
  <si>
    <t>Spring Semester</t>
  </si>
  <si>
    <t>2019-2020</t>
  </si>
  <si>
    <t>2020-2021</t>
  </si>
  <si>
    <t>% Reenrolled (Grad and Transfers Removed)</t>
  </si>
  <si>
    <t>Adjusted Headcount (No Grads and or Transfers)</t>
  </si>
  <si>
    <t>Reenrolled Subsequent Fall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</si>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</sst>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4" borderId="0" xfId="0" applyFill="1"/>
    <xf numFmtId="0" fontId="1" fillId="5" borderId="0" xfId="0" applyFont="1" applyFill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10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6" borderId="0" xfId="0" applyFont="1" applyFill="1" applyAlignment="1">
      <alignment horizontal="center"/>
    </xf>
    <xf numFmtId="0" fontId="1" fillId="5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0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7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effectLst/>
              </a:rPr>
              <a:t>Degrees and Certificates</a:t>
            </a:r>
            <a:r>
              <a:rPr lang="en-US" sz="1400" baseline="0">
                <a:effectLst/>
              </a:rPr>
              <a:t> Earned</a:t>
            </a:r>
            <a:r>
              <a:rPr lang="en-US" sz="1400">
                <a:effectLst/>
              </a:rPr>
              <a:t> by Fiscal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Filipino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'Degrees and Certificates Earned'!$A$3:$A$9</c:f>
              <c:strCache>
                <c:ptCount val="7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  <c:pt idx="6">
                  <c:v>2021-2022</c:v>
                </c:pt>
              </c:strCache>
            </c:strRef>
          </c:cat>
          <c:val>
            <c:numRef>
              <c:f>'Degrees and Certificates Earned'!$B$3:$B$9</c:f>
              <c:numCache>
                <c:formatCode>General</c:formatCode>
                <c:ptCount val="7"/>
                <c:pt idx="0">
                  <c:v>191</c:v>
                </c:pt>
                <c:pt idx="1">
                  <c:v>174</c:v>
                </c:pt>
                <c:pt idx="2">
                  <c:v>204</c:v>
                </c:pt>
                <c:pt idx="3">
                  <c:v>185</c:v>
                </c:pt>
                <c:pt idx="4">
                  <c:v>144</c:v>
                </c:pt>
                <c:pt idx="5">
                  <c:v>188</c:v>
                </c:pt>
                <c:pt idx="6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F5-49CD-B05A-B8D1B3C3A31A}"/>
            </c:ext>
          </c:extLst>
        </c:ser>
        <c:ser>
          <c:idx val="1"/>
          <c:order val="1"/>
          <c:tx>
            <c:v>Native Hawaiian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'Degrees and Certificates Earned'!$A$3:$A$9</c:f>
              <c:strCache>
                <c:ptCount val="7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  <c:pt idx="6">
                  <c:v>2021-2022</c:v>
                </c:pt>
              </c:strCache>
            </c:strRef>
          </c:cat>
          <c:val>
            <c:numRef>
              <c:f>'Degrees and Certificates Earned'!$C$3:$C$9</c:f>
              <c:numCache>
                <c:formatCode>General</c:formatCode>
                <c:ptCount val="7"/>
                <c:pt idx="0">
                  <c:v>191</c:v>
                </c:pt>
                <c:pt idx="1">
                  <c:v>186</c:v>
                </c:pt>
                <c:pt idx="2">
                  <c:v>163</c:v>
                </c:pt>
                <c:pt idx="3">
                  <c:v>172</c:v>
                </c:pt>
                <c:pt idx="4">
                  <c:v>146</c:v>
                </c:pt>
                <c:pt idx="5">
                  <c:v>160</c:v>
                </c:pt>
                <c:pt idx="6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F5-49CD-B05A-B8D1B3C3A31A}"/>
            </c:ext>
          </c:extLst>
        </c:ser>
        <c:ser>
          <c:idx val="2"/>
          <c:order val="2"/>
          <c:tx>
            <c:v>Pacific Islander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'Degrees and Certificates Earned'!$A$3:$A$9</c:f>
              <c:strCache>
                <c:ptCount val="7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  <c:pt idx="6">
                  <c:v>2021-2022</c:v>
                </c:pt>
              </c:strCache>
            </c:strRef>
          </c:cat>
          <c:val>
            <c:numRef>
              <c:f>'Degrees and Certificates Earned'!$D$3:$D$9</c:f>
              <c:numCache>
                <c:formatCode>General</c:formatCode>
                <c:ptCount val="7"/>
                <c:pt idx="0">
                  <c:v>19</c:v>
                </c:pt>
                <c:pt idx="1">
                  <c:v>10</c:v>
                </c:pt>
                <c:pt idx="2">
                  <c:v>16</c:v>
                </c:pt>
                <c:pt idx="3">
                  <c:v>22</c:v>
                </c:pt>
                <c:pt idx="4">
                  <c:v>12</c:v>
                </c:pt>
                <c:pt idx="5">
                  <c:v>18</c:v>
                </c:pt>
                <c:pt idx="6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F5-49CD-B05A-B8D1B3C3A31A}"/>
            </c:ext>
          </c:extLst>
        </c:ser>
        <c:ser>
          <c:idx val="3"/>
          <c:order val="3"/>
          <c:tx>
            <c:v>Pell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'Degrees and Certificates Earned'!$A$3:$A$9</c:f>
              <c:strCache>
                <c:ptCount val="7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  <c:pt idx="6">
                  <c:v>2021-2022</c:v>
                </c:pt>
              </c:strCache>
            </c:strRef>
          </c:cat>
          <c:val>
            <c:numRef>
              <c:f>'Degrees and Certificates Earned'!$E$3:$E$9</c:f>
              <c:numCache>
                <c:formatCode>General</c:formatCode>
                <c:ptCount val="7"/>
                <c:pt idx="0">
                  <c:v>529</c:v>
                </c:pt>
                <c:pt idx="1">
                  <c:v>489</c:v>
                </c:pt>
                <c:pt idx="2">
                  <c:v>453</c:v>
                </c:pt>
                <c:pt idx="3">
                  <c:v>426</c:v>
                </c:pt>
                <c:pt idx="4">
                  <c:v>382</c:v>
                </c:pt>
                <c:pt idx="5">
                  <c:v>398</c:v>
                </c:pt>
                <c:pt idx="6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F5-49CD-B05A-B8D1B3C3A31A}"/>
            </c:ext>
          </c:extLst>
        </c:ser>
        <c:ser>
          <c:idx val="4"/>
          <c:order val="4"/>
          <c:tx>
            <c:strRef>
              <c:f>'Degrees and Certificates Earned'!$F$2</c:f>
              <c:strCache>
                <c:ptCount val="1"/>
                <c:pt idx="0">
                  <c:v>All Students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'Degrees and Certificates Earned'!$F$3:$F$9</c:f>
              <c:numCache>
                <c:formatCode>General</c:formatCode>
                <c:ptCount val="7"/>
                <c:pt idx="0">
                  <c:v>1383</c:v>
                </c:pt>
                <c:pt idx="1">
                  <c:v>1356</c:v>
                </c:pt>
                <c:pt idx="2">
                  <c:v>1276</c:v>
                </c:pt>
                <c:pt idx="3">
                  <c:v>1212</c:v>
                </c:pt>
                <c:pt idx="4">
                  <c:v>1100</c:v>
                </c:pt>
                <c:pt idx="5">
                  <c:v>1084</c:v>
                </c:pt>
                <c:pt idx="6">
                  <c:v>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44-4AD6-8339-245AE8823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5555840"/>
        <c:axId val="1456944128"/>
      </c:lineChart>
      <c:catAx>
        <c:axId val="1465555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6944128"/>
        <c:crosses val="autoZero"/>
        <c:auto val="1"/>
        <c:lblAlgn val="ctr"/>
        <c:lblOffset val="100"/>
        <c:noMultiLvlLbl val="0"/>
      </c:catAx>
      <c:valAx>
        <c:axId val="14569441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Degrees and Certificates Earned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555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 of All Fall</a:t>
            </a:r>
            <a:r>
              <a:rPr lang="en-US" baseline="0"/>
              <a:t> Semester Course Completions</a:t>
            </a:r>
          </a:p>
        </c:rich>
      </c:tx>
      <c:layout>
        <c:manualLayout>
          <c:xMode val="edge"/>
          <c:yMode val="edge"/>
          <c:x val="0.21783593717451988"/>
          <c:y val="2.53279095329237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'Fall Course Completion'!$E$8:$I$8</c:f>
              <c:strCache>
                <c:ptCount val="1"/>
                <c:pt idx="0">
                  <c:v>Filipino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'Fall Course Completion'!$D$10:$D$15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'Fall Course Completion'!$F$10:$F$14</c:f>
              <c:numCache>
                <c:formatCode>General</c:formatCode>
                <c:ptCount val="5"/>
                <c:pt idx="0">
                  <c:v>2290</c:v>
                </c:pt>
                <c:pt idx="1">
                  <c:v>2185</c:v>
                </c:pt>
                <c:pt idx="2">
                  <c:v>2146</c:v>
                </c:pt>
                <c:pt idx="3">
                  <c:v>2055</c:v>
                </c:pt>
                <c:pt idx="4">
                  <c:v>2247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B0-4161-A5D6-8CE9C5D11CB6}"/>
            </c:ext>
          </c:extLst>
        </c:ser>
        <c:ser>
          <c:idx val="1"/>
          <c:order val="1"/>
          <c:tx>
            <c:strRef>
              <c:f>'Fall Course Completion'!$K$8:$P$8</c:f>
              <c:strCache>
                <c:ptCount val="1"/>
                <c:pt idx="0">
                  <c:v>Native Hawaiian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'Fall Course Completion'!$D$10:$D$15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'Fall Course Completion'!$L$10:$L$15</c:f>
              <c:numCache>
                <c:formatCode>General</c:formatCode>
                <c:ptCount val="6"/>
                <c:pt idx="0">
                  <c:v>2225</c:v>
                </c:pt>
                <c:pt idx="1">
                  <c:v>2209</c:v>
                </c:pt>
                <c:pt idx="2">
                  <c:v>2155</c:v>
                </c:pt>
                <c:pt idx="3">
                  <c:v>2029</c:v>
                </c:pt>
                <c:pt idx="4">
                  <c:v>2328</c:v>
                </c:pt>
                <c:pt idx="5">
                  <c:v>2168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B0-4161-A5D6-8CE9C5D11CB6}"/>
            </c:ext>
          </c:extLst>
        </c:ser>
        <c:ser>
          <c:idx val="2"/>
          <c:order val="2"/>
          <c:tx>
            <c:strRef>
              <c:f>'Fall Course Completion'!$Q$8:$V$8</c:f>
              <c:strCache>
                <c:ptCount val="1"/>
                <c:pt idx="0">
                  <c:v>Pacific Islander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'Fall Course Completion'!$D$10:$D$15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'Fall Course Completion'!$T$10:$T$15</c:f>
              <c:numCache>
                <c:formatCode>General</c:formatCode>
                <c:ptCount val="6"/>
                <c:pt idx="0">
                  <c:v>392</c:v>
                </c:pt>
                <c:pt idx="1">
                  <c:v>430</c:v>
                </c:pt>
                <c:pt idx="2">
                  <c:v>431</c:v>
                </c:pt>
                <c:pt idx="3">
                  <c:v>401</c:v>
                </c:pt>
                <c:pt idx="4">
                  <c:v>383</c:v>
                </c:pt>
                <c:pt idx="5">
                  <c:v>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B0-4161-A5D6-8CE9C5D11CB6}"/>
            </c:ext>
          </c:extLst>
        </c:ser>
        <c:ser>
          <c:idx val="3"/>
          <c:order val="3"/>
          <c:tx>
            <c:strRef>
              <c:f>'Fall Course Completion'!$W$8:$AB$8</c:f>
              <c:strCache>
                <c:ptCount val="1"/>
                <c:pt idx="0">
                  <c:v>Pell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'Fall Course Completion'!$D$10:$D$15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'Fall Course Completion'!$X$10:$X$15</c:f>
              <c:numCache>
                <c:formatCode>General</c:formatCode>
                <c:ptCount val="6"/>
                <c:pt idx="0">
                  <c:v>3979</c:v>
                </c:pt>
                <c:pt idx="1">
                  <c:v>3835</c:v>
                </c:pt>
                <c:pt idx="2">
                  <c:v>3598</c:v>
                </c:pt>
                <c:pt idx="3">
                  <c:v>2811</c:v>
                </c:pt>
                <c:pt idx="4">
                  <c:v>2810</c:v>
                </c:pt>
                <c:pt idx="5">
                  <c:v>2390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B0-4161-A5D6-8CE9C5D11CB6}"/>
            </c:ext>
          </c:extLst>
        </c:ser>
        <c:ser>
          <c:idx val="4"/>
          <c:order val="4"/>
          <c:tx>
            <c:strRef>
              <c:f>'Fall Course Completion'!$AC$8:$AH$8</c:f>
              <c:strCache>
                <c:ptCount val="1"/>
                <c:pt idx="0">
                  <c:v>All Students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'Fall Course Completion'!$D$10:$D$15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'Fall Course Completion'!$AD$10:$AD$15</c:f>
              <c:numCache>
                <c:formatCode>General</c:formatCode>
                <c:ptCount val="6"/>
                <c:pt idx="0">
                  <c:v>15493</c:v>
                </c:pt>
                <c:pt idx="1">
                  <c:v>14785</c:v>
                </c:pt>
                <c:pt idx="2">
                  <c:v>13988</c:v>
                </c:pt>
                <c:pt idx="3">
                  <c:v>13445</c:v>
                </c:pt>
                <c:pt idx="4">
                  <c:v>13290</c:v>
                </c:pt>
                <c:pt idx="5">
                  <c:v>11633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B0-4161-A5D6-8CE9C5D1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475375"/>
        <c:axId val="1072810575"/>
      </c:lineChart>
      <c:catAx>
        <c:axId val="9614753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Fall Term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2810575"/>
        <c:crosses val="autoZero"/>
        <c:auto val="1"/>
        <c:lblAlgn val="ctr"/>
        <c:lblOffset val="100"/>
        <c:noMultiLvlLbl val="0"/>
      </c:catAx>
      <c:valAx>
        <c:axId val="107281057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</a:t>
                </a:r>
                <a:r>
                  <a:rPr lang="en-US" baseline="0"/>
                  <a:t> of Course Completions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1475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</a:t>
            </a:r>
            <a:r>
              <a:rPr lang="en-US" baseline="0"/>
              <a:t> of All Fall Semester Course Completions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07962204107489"/>
          <c:y val="0.12762148808785193"/>
          <c:w val="0.66620513767768741"/>
          <c:h val="0.71959295983839333"/>
        </c:manualLayout>
      </c:layout>
      <c:lineChart>
        <c:grouping val="standard"/>
        <c:varyColors val="0"/>
        <c:ser>
          <c:idx val="0"/>
          <c:order val="0"/>
          <c:tx>
            <c:strRef>
              <c:f>'Fall Course Completion'!$E$8:$I$8</c:f>
              <c:strCache>
                <c:ptCount val="1"/>
                <c:pt idx="0">
                  <c:v>Filipino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'Fall Course Completion'!$D$10:$D$15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'Fall Course Completion'!$G$10:$G$15</c:f>
              <c:numCache>
                <c:formatCode>0.00%</c:formatCode>
                <c:ptCount val="6"/>
                <c:pt idx="0">
                  <c:v>0.75827814569536423</c:v>
                </c:pt>
                <c:pt idx="1">
                  <c:v>0.74420980926430513</c:v>
                </c:pt>
                <c:pt idx="2">
                  <c:v>0.73392612859097128</c:v>
                </c:pt>
                <c:pt idx="3">
                  <c:v>0.74375678610206297</c:v>
                </c:pt>
                <c:pt idx="4">
                  <c:v>0.79147587178584011</c:v>
                </c:pt>
                <c:pt idx="5">
                  <c:v>0.75190000000000001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59-41D4-9474-571320F50AF9}"/>
            </c:ext>
          </c:extLst>
        </c:ser>
        <c:ser>
          <c:idx val="1"/>
          <c:order val="1"/>
          <c:tx>
            <c:strRef>
              <c:f>'Fall Course Completion'!$K$8:$P$8</c:f>
              <c:strCache>
                <c:ptCount val="1"/>
                <c:pt idx="0">
                  <c:v>Native Hawaiian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'Fall Course Completion'!$D$10:$D$15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'Fall Course Completion'!$M$10:$M$15</c:f>
              <c:numCache>
                <c:formatCode>0.00%</c:formatCode>
                <c:ptCount val="6"/>
                <c:pt idx="0">
                  <c:v>0.65421934725080855</c:v>
                </c:pt>
                <c:pt idx="1">
                  <c:v>0.62844950213371265</c:v>
                </c:pt>
                <c:pt idx="2">
                  <c:v>0.64079690752304486</c:v>
                </c:pt>
                <c:pt idx="3">
                  <c:v>0.6847789402632467</c:v>
                </c:pt>
                <c:pt idx="4">
                  <c:v>0.72433105164903544</c:v>
                </c:pt>
                <c:pt idx="5">
                  <c:v>0.71199999999999997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59-41D4-9474-571320F50AF9}"/>
            </c:ext>
          </c:extLst>
        </c:ser>
        <c:ser>
          <c:idx val="2"/>
          <c:order val="2"/>
          <c:tx>
            <c:strRef>
              <c:f>'Fall Course Completion'!$Q$8:$V$8</c:f>
              <c:strCache>
                <c:ptCount val="1"/>
                <c:pt idx="0">
                  <c:v>Pacific Islander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'Fall Course Completion'!$D$10:$D$15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'Fall Course Completion'!$S$10:$S$15</c:f>
              <c:numCache>
                <c:formatCode>0.00%</c:formatCode>
                <c:ptCount val="6"/>
                <c:pt idx="0">
                  <c:v>0.57907542579075422</c:v>
                </c:pt>
                <c:pt idx="1">
                  <c:v>0.54130434782608694</c:v>
                </c:pt>
                <c:pt idx="2">
                  <c:v>0.49784482758620691</c:v>
                </c:pt>
                <c:pt idx="3">
                  <c:v>0.48979591836734693</c:v>
                </c:pt>
                <c:pt idx="4">
                  <c:v>0.55961070559610704</c:v>
                </c:pt>
                <c:pt idx="5">
                  <c:v>0.48010000000000003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59-41D4-9474-571320F50AF9}"/>
            </c:ext>
          </c:extLst>
        </c:ser>
        <c:ser>
          <c:idx val="3"/>
          <c:order val="3"/>
          <c:tx>
            <c:strRef>
              <c:f>'Fall Course Completion'!$W$8:$AB$8</c:f>
              <c:strCache>
                <c:ptCount val="1"/>
                <c:pt idx="0">
                  <c:v>Pell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'Fall Course Completion'!$D$10:$D$15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'Fall Course Completion'!$Y$10:$Y$15</c:f>
              <c:numCache>
                <c:formatCode>0.00%</c:formatCode>
                <c:ptCount val="6"/>
                <c:pt idx="0">
                  <c:v>0.75374123887099831</c:v>
                </c:pt>
                <c:pt idx="1">
                  <c:v>0.72550132425274305</c:v>
                </c:pt>
                <c:pt idx="2">
                  <c:v>0.73518594196975884</c:v>
                </c:pt>
                <c:pt idx="3">
                  <c:v>0.73165018219677247</c:v>
                </c:pt>
                <c:pt idx="4">
                  <c:v>0.7662939732751568</c:v>
                </c:pt>
                <c:pt idx="5">
                  <c:v>0.73250000000000004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59-41D4-9474-571320F50AF9}"/>
            </c:ext>
          </c:extLst>
        </c:ser>
        <c:ser>
          <c:idx val="4"/>
          <c:order val="4"/>
          <c:tx>
            <c:strRef>
              <c:f>'Fall Course Completion'!$AC$8:$AH$8</c:f>
              <c:strCache>
                <c:ptCount val="1"/>
                <c:pt idx="0">
                  <c:v>All Students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'Fall Course Completion'!$D$10:$D$15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'Fall Course Completion'!$AE$10:$AE$15</c:f>
              <c:numCache>
                <c:formatCode>0.00%</c:formatCode>
                <c:ptCount val="6"/>
                <c:pt idx="0">
                  <c:v>0.73741075678248458</c:v>
                </c:pt>
                <c:pt idx="1">
                  <c:v>0.72206485641726903</c:v>
                </c:pt>
                <c:pt idx="2">
                  <c:v>0.71829105473965282</c:v>
                </c:pt>
                <c:pt idx="3">
                  <c:v>0.74207969974610888</c:v>
                </c:pt>
                <c:pt idx="4">
                  <c:v>0.76396872844332031</c:v>
                </c:pt>
                <c:pt idx="5">
                  <c:v>0.74619999999999997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59-41D4-9474-571320F50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759119"/>
        <c:axId val="1165225791"/>
      </c:lineChart>
      <c:catAx>
        <c:axId val="9697591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Fall Term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5225791"/>
        <c:crosses val="autoZero"/>
        <c:auto val="1"/>
        <c:lblAlgn val="ctr"/>
        <c:lblOffset val="100"/>
        <c:noMultiLvlLbl val="0"/>
      </c:catAx>
      <c:valAx>
        <c:axId val="116522579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of Course Completions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9759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 of College Level Fall Term</a:t>
            </a:r>
            <a:r>
              <a:rPr lang="en-US" baseline="0"/>
              <a:t> Course</a:t>
            </a:r>
            <a:r>
              <a:rPr lang="en-US"/>
              <a:t> Completions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'Fall Course Completion'!$E$8:$I$8</c:f>
              <c:strCache>
                <c:ptCount val="1"/>
                <c:pt idx="0">
                  <c:v>Filipino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'Fall Course Completion'!$D$10:$D$15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'Fall Course Completion'!$I$10:$I$15</c:f>
              <c:numCache>
                <c:formatCode>General</c:formatCode>
                <c:ptCount val="6"/>
                <c:pt idx="0">
                  <c:v>2196</c:v>
                </c:pt>
                <c:pt idx="1">
                  <c:v>2079</c:v>
                </c:pt>
                <c:pt idx="2">
                  <c:v>2092</c:v>
                </c:pt>
                <c:pt idx="3">
                  <c:v>1990</c:v>
                </c:pt>
                <c:pt idx="4">
                  <c:v>2179</c:v>
                </c:pt>
                <c:pt idx="5">
                  <c:v>1791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43-4C65-A6A0-3BEDD0232D78}"/>
            </c:ext>
          </c:extLst>
        </c:ser>
        <c:ser>
          <c:idx val="1"/>
          <c:order val="1"/>
          <c:tx>
            <c:strRef>
              <c:f>'Fall Course Completion'!$K$8:$P$8</c:f>
              <c:strCache>
                <c:ptCount val="1"/>
                <c:pt idx="0">
                  <c:v>Native Hawaiian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'Fall Course Completion'!$D$10:$D$15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'Fall Course Completion'!$O$10:$O$15</c:f>
              <c:numCache>
                <c:formatCode>General</c:formatCode>
                <c:ptCount val="6"/>
                <c:pt idx="0">
                  <c:v>2140</c:v>
                </c:pt>
                <c:pt idx="1">
                  <c:v>2135</c:v>
                </c:pt>
                <c:pt idx="2">
                  <c:v>2114</c:v>
                </c:pt>
                <c:pt idx="3">
                  <c:v>1974</c:v>
                </c:pt>
                <c:pt idx="4">
                  <c:v>2274</c:v>
                </c:pt>
                <c:pt idx="5">
                  <c:v>2132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43-4C65-A6A0-3BEDD0232D78}"/>
            </c:ext>
          </c:extLst>
        </c:ser>
        <c:ser>
          <c:idx val="2"/>
          <c:order val="2"/>
          <c:tx>
            <c:strRef>
              <c:f>'Fall Course Completion'!$Q$8:$V$8</c:f>
              <c:strCache>
                <c:ptCount val="1"/>
                <c:pt idx="0">
                  <c:v>Pacific Islander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'Fall Course Completion'!$D$10:$D$15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'Fall Course Completion'!$U$10:$U$15</c:f>
              <c:numCache>
                <c:formatCode>General</c:formatCode>
                <c:ptCount val="6"/>
                <c:pt idx="0">
                  <c:v>228</c:v>
                </c:pt>
                <c:pt idx="1">
                  <c:v>237</c:v>
                </c:pt>
                <c:pt idx="2">
                  <c:v>222</c:v>
                </c:pt>
                <c:pt idx="3">
                  <c:v>205</c:v>
                </c:pt>
                <c:pt idx="4">
                  <c:v>220</c:v>
                </c:pt>
                <c:pt idx="5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43-4C65-A6A0-3BEDD0232D78}"/>
            </c:ext>
          </c:extLst>
        </c:ser>
        <c:ser>
          <c:idx val="3"/>
          <c:order val="3"/>
          <c:tx>
            <c:strRef>
              <c:f>'Fall Course Completion'!$W$8:$AB$8</c:f>
              <c:strCache>
                <c:ptCount val="1"/>
                <c:pt idx="0">
                  <c:v>Pell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'Fall Course Completion'!$D$10:$D$15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'Fall Course Completion'!$AA$10:$AA$15</c:f>
              <c:numCache>
                <c:formatCode>General</c:formatCode>
                <c:ptCount val="6"/>
                <c:pt idx="0">
                  <c:v>3772</c:v>
                </c:pt>
                <c:pt idx="1">
                  <c:v>3664</c:v>
                </c:pt>
                <c:pt idx="2">
                  <c:v>3456</c:v>
                </c:pt>
                <c:pt idx="3">
                  <c:v>2656</c:v>
                </c:pt>
                <c:pt idx="4">
                  <c:v>2714</c:v>
                </c:pt>
                <c:pt idx="5">
                  <c:v>2334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43-4C65-A6A0-3BEDD0232D78}"/>
            </c:ext>
          </c:extLst>
        </c:ser>
        <c:ser>
          <c:idx val="4"/>
          <c:order val="4"/>
          <c:tx>
            <c:strRef>
              <c:f>'Fall Course Completion'!$AC$8:$AH$8</c:f>
              <c:strCache>
                <c:ptCount val="1"/>
                <c:pt idx="0">
                  <c:v>All Students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'Fall Course Completion'!$D$10:$D$15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'Fall Course Completion'!$AG$10:$AG$15</c:f>
              <c:numCache>
                <c:formatCode>General</c:formatCode>
                <c:ptCount val="6"/>
                <c:pt idx="0">
                  <c:v>14706</c:v>
                </c:pt>
                <c:pt idx="1">
                  <c:v>14139</c:v>
                </c:pt>
                <c:pt idx="2">
                  <c:v>13397</c:v>
                </c:pt>
                <c:pt idx="3">
                  <c:v>12771</c:v>
                </c:pt>
                <c:pt idx="4">
                  <c:v>12880</c:v>
                </c:pt>
                <c:pt idx="5">
                  <c:v>11366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43-4C65-A6A0-3BEDD0232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787423"/>
        <c:axId val="1137767471"/>
      </c:lineChart>
      <c:catAx>
        <c:axId val="113778742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Fall Term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7767471"/>
        <c:crosses val="autoZero"/>
        <c:auto val="1"/>
        <c:lblAlgn val="ctr"/>
        <c:lblOffset val="100"/>
        <c:noMultiLvlLbl val="0"/>
      </c:catAx>
      <c:valAx>
        <c:axId val="113776747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 of College Level Course Completions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7787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</a:t>
            </a:r>
            <a:r>
              <a:rPr lang="en-US" baseline="0"/>
              <a:t> of College Level Fall Term Course Completions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'Fall Course Completion'!$E$8:$I$8</c:f>
              <c:strCache>
                <c:ptCount val="1"/>
                <c:pt idx="0">
                  <c:v>Filipino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'Fall Course Completion'!$D$10:$D$15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'Fall Course Completion'!$J$10:$J$15</c:f>
              <c:numCache>
                <c:formatCode>0.00%</c:formatCode>
                <c:ptCount val="6"/>
                <c:pt idx="0">
                  <c:v>0.76117850953206234</c:v>
                </c:pt>
                <c:pt idx="1">
                  <c:v>0.74409448818897639</c:v>
                </c:pt>
                <c:pt idx="2">
                  <c:v>0.74237047551454938</c:v>
                </c:pt>
                <c:pt idx="3">
                  <c:v>0.74924698795180722</c:v>
                </c:pt>
                <c:pt idx="4">
                  <c:v>0.79525547445255473</c:v>
                </c:pt>
                <c:pt idx="5">
                  <c:v>0.75439999999999996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7-4CF0-AFC8-8CAE93DD2B78}"/>
            </c:ext>
          </c:extLst>
        </c:ser>
        <c:ser>
          <c:idx val="1"/>
          <c:order val="1"/>
          <c:tx>
            <c:strRef>
              <c:f>'Fall Course Completion'!$K$8:$P$8</c:f>
              <c:strCache>
                <c:ptCount val="1"/>
                <c:pt idx="0">
                  <c:v>Native Hawaiian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'Fall Course Completion'!$D$10:$D$15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'Fall Course Completion'!$P$10:$P$15</c:f>
              <c:numCache>
                <c:formatCode>0.00%</c:formatCode>
                <c:ptCount val="6"/>
                <c:pt idx="0">
                  <c:v>0.65886699507389157</c:v>
                </c:pt>
                <c:pt idx="1">
                  <c:v>0.63560583506996127</c:v>
                </c:pt>
                <c:pt idx="2">
                  <c:v>0.62935397439714202</c:v>
                </c:pt>
                <c:pt idx="3">
                  <c:v>0.69045120671563487</c:v>
                </c:pt>
                <c:pt idx="4">
                  <c:v>0.73095467695274829</c:v>
                </c:pt>
                <c:pt idx="5">
                  <c:v>0.71591672263263939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7-4CF0-AFC8-8CAE93DD2B78}"/>
            </c:ext>
          </c:extLst>
        </c:ser>
        <c:ser>
          <c:idx val="2"/>
          <c:order val="2"/>
          <c:tx>
            <c:strRef>
              <c:f>'Fall Course Completion'!$Q$8:$V$8</c:f>
              <c:strCache>
                <c:ptCount val="1"/>
                <c:pt idx="0">
                  <c:v>Pacific Islander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'Fall Course Completion'!$D$10:$D$15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'Fall Course Completion'!$V$10:$V$15</c:f>
              <c:numCache>
                <c:formatCode>0.00%</c:formatCode>
                <c:ptCount val="6"/>
                <c:pt idx="0">
                  <c:v>0.58163265306122447</c:v>
                </c:pt>
                <c:pt idx="1">
                  <c:v>0.55116279069767438</c:v>
                </c:pt>
                <c:pt idx="2">
                  <c:v>0.51508120649651967</c:v>
                </c:pt>
                <c:pt idx="3">
                  <c:v>0.51122194513715713</c:v>
                </c:pt>
                <c:pt idx="4">
                  <c:v>0.5744125326370757</c:v>
                </c:pt>
                <c:pt idx="5">
                  <c:v>0.48480000000000001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7-4CF0-AFC8-8CAE93DD2B78}"/>
            </c:ext>
          </c:extLst>
        </c:ser>
        <c:ser>
          <c:idx val="3"/>
          <c:order val="3"/>
          <c:tx>
            <c:strRef>
              <c:f>'Fall Course Completion'!$W$8:$AB$8</c:f>
              <c:strCache>
                <c:ptCount val="1"/>
                <c:pt idx="0">
                  <c:v>Pell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'Fall Course Completion'!$D$10:$D$15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'Fall Course Completion'!$AB$10:$AB$15</c:f>
              <c:numCache>
                <c:formatCode>0.00%</c:formatCode>
                <c:ptCount val="6"/>
                <c:pt idx="0">
                  <c:v>0.756214915797915</c:v>
                </c:pt>
                <c:pt idx="1">
                  <c:v>0.73177551428000798</c:v>
                </c:pt>
                <c:pt idx="2">
                  <c:v>0.7416309012875536</c:v>
                </c:pt>
                <c:pt idx="3">
                  <c:v>0.73695893451720307</c:v>
                </c:pt>
                <c:pt idx="4">
                  <c:v>0.77388080980895357</c:v>
                </c:pt>
                <c:pt idx="5">
                  <c:v>0.73488664987405539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7-4CF0-AFC8-8CAE93DD2B78}"/>
            </c:ext>
          </c:extLst>
        </c:ser>
        <c:ser>
          <c:idx val="4"/>
          <c:order val="4"/>
          <c:tx>
            <c:strRef>
              <c:f>'Fall Course Completion'!$AC$8:$AH$8</c:f>
              <c:strCache>
                <c:ptCount val="1"/>
                <c:pt idx="0">
                  <c:v>All Students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'Fall Course Completion'!$D$10:$D$15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'Fall Course Completion'!$AH$10:$AH$15</c:f>
              <c:numCache>
                <c:formatCode>0.00%</c:formatCode>
                <c:ptCount val="6"/>
                <c:pt idx="0">
                  <c:v>0.73936651583710411</c:v>
                </c:pt>
                <c:pt idx="1">
                  <c:v>0.72611955628594904</c:v>
                </c:pt>
                <c:pt idx="2">
                  <c:v>0.72275571860164001</c:v>
                </c:pt>
                <c:pt idx="3">
                  <c:v>0.74427414184975815</c:v>
                </c:pt>
                <c:pt idx="4">
                  <c:v>0.76900113439608331</c:v>
                </c:pt>
                <c:pt idx="5">
                  <c:v>0.74919999999999998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47-4CF0-AFC8-8CAE93DD2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946607"/>
        <c:axId val="1054936159"/>
      </c:lineChart>
      <c:catAx>
        <c:axId val="11739466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Fall</a:t>
                </a:r>
                <a:r>
                  <a:rPr lang="en-US" baseline="0"/>
                  <a:t> Term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4936159"/>
        <c:crosses val="autoZero"/>
        <c:auto val="1"/>
        <c:lblAlgn val="ctr"/>
        <c:lblOffset val="100"/>
        <c:noMultiLvlLbl val="0"/>
      </c:catAx>
      <c:valAx>
        <c:axId val="105493615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  <a:r>
                  <a:rPr lang="en-US" baseline="0"/>
                  <a:t> of College Level Course Completions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3946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All Spring Term Course Completion Counts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'Spring Course Completions'!$E$5:$I$5</c:f>
              <c:strCache>
                <c:ptCount val="1"/>
                <c:pt idx="0">
                  <c:v>Filipino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'Spring Course Completions'!$D$7:$D$12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'Spring Course Completions'!$F$7:$F$12</c:f>
              <c:numCache>
                <c:formatCode>General</c:formatCode>
                <c:ptCount val="6"/>
                <c:pt idx="0">
                  <c:v>1963</c:v>
                </c:pt>
                <c:pt idx="1">
                  <c:v>1964</c:v>
                </c:pt>
                <c:pt idx="2">
                  <c:v>1884</c:v>
                </c:pt>
                <c:pt idx="3">
                  <c:v>1727</c:v>
                </c:pt>
                <c:pt idx="4">
                  <c:v>1928</c:v>
                </c:pt>
                <c:pt idx="5">
                  <c:v>1606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3-45FF-BBB9-0C3F9E6BB5D5}"/>
            </c:ext>
          </c:extLst>
        </c:ser>
        <c:ser>
          <c:idx val="1"/>
          <c:order val="1"/>
          <c:tx>
            <c:strRef>
              <c:f>'Spring Course Completions'!$K$5:$P$5</c:f>
              <c:strCache>
                <c:ptCount val="1"/>
                <c:pt idx="0">
                  <c:v>Native Hawaiian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'Spring Course Completions'!$D$7:$D$12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'Spring Course Completions'!$L$7:$L$12</c:f>
              <c:numCache>
                <c:formatCode>General</c:formatCode>
                <c:ptCount val="6"/>
                <c:pt idx="0">
                  <c:v>1988</c:v>
                </c:pt>
                <c:pt idx="1">
                  <c:v>2033</c:v>
                </c:pt>
                <c:pt idx="2">
                  <c:v>1810</c:v>
                </c:pt>
                <c:pt idx="3">
                  <c:v>1832</c:v>
                </c:pt>
                <c:pt idx="4">
                  <c:v>2058</c:v>
                </c:pt>
                <c:pt idx="5">
                  <c:v>1849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3-45FF-BBB9-0C3F9E6BB5D5}"/>
            </c:ext>
          </c:extLst>
        </c:ser>
        <c:ser>
          <c:idx val="2"/>
          <c:order val="2"/>
          <c:tx>
            <c:strRef>
              <c:f>'Spring Course Completions'!$Q$5:$V$5</c:f>
              <c:strCache>
                <c:ptCount val="1"/>
                <c:pt idx="0">
                  <c:v>Pacific Islander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'Spring Course Completions'!$D$7:$D$12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'Spring Course Completions'!$R$7:$R$12</c:f>
              <c:numCache>
                <c:formatCode>General</c:formatCode>
                <c:ptCount val="6"/>
                <c:pt idx="0">
                  <c:v>231</c:v>
                </c:pt>
                <c:pt idx="1">
                  <c:v>262</c:v>
                </c:pt>
                <c:pt idx="2">
                  <c:v>200</c:v>
                </c:pt>
                <c:pt idx="3">
                  <c:v>201</c:v>
                </c:pt>
                <c:pt idx="4">
                  <c:v>194</c:v>
                </c:pt>
                <c:pt idx="5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3-45FF-BBB9-0C3F9E6BB5D5}"/>
            </c:ext>
          </c:extLst>
        </c:ser>
        <c:ser>
          <c:idx val="3"/>
          <c:order val="3"/>
          <c:tx>
            <c:strRef>
              <c:f>'Spring Course Completions'!$W$5:$AB$5</c:f>
              <c:strCache>
                <c:ptCount val="1"/>
                <c:pt idx="0">
                  <c:v>Pell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'Spring Course Completions'!$D$7:$D$12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'Spring Course Completions'!$X$7:$X$12</c:f>
              <c:numCache>
                <c:formatCode>General</c:formatCode>
                <c:ptCount val="6"/>
                <c:pt idx="0">
                  <c:v>3446</c:v>
                </c:pt>
                <c:pt idx="1">
                  <c:v>3419</c:v>
                </c:pt>
                <c:pt idx="2">
                  <c:v>3087</c:v>
                </c:pt>
                <c:pt idx="3">
                  <c:v>2621</c:v>
                </c:pt>
                <c:pt idx="4">
                  <c:v>2528</c:v>
                </c:pt>
                <c:pt idx="5">
                  <c:v>2059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3-45FF-BBB9-0C3F9E6BB5D5}"/>
            </c:ext>
          </c:extLst>
        </c:ser>
        <c:ser>
          <c:idx val="4"/>
          <c:order val="4"/>
          <c:tx>
            <c:strRef>
              <c:f>'Spring Course Completions'!$AC$5:$AH$5</c:f>
              <c:strCache>
                <c:ptCount val="1"/>
                <c:pt idx="0">
                  <c:v>All Students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'Spring Course Completions'!$D$7:$D$12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'Spring Course Completions'!$AD$7:$AD$12</c:f>
              <c:numCache>
                <c:formatCode>General</c:formatCode>
                <c:ptCount val="6"/>
                <c:pt idx="0">
                  <c:v>14061</c:v>
                </c:pt>
                <c:pt idx="1">
                  <c:v>13581</c:v>
                </c:pt>
                <c:pt idx="2">
                  <c:v>12689</c:v>
                </c:pt>
                <c:pt idx="3">
                  <c:v>11874</c:v>
                </c:pt>
                <c:pt idx="4">
                  <c:v>11892</c:v>
                </c:pt>
                <c:pt idx="5">
                  <c:v>10450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3-45FF-BBB9-0C3F9E6BB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031423"/>
        <c:axId val="1055418415"/>
      </c:lineChart>
      <c:catAx>
        <c:axId val="97203142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Spring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418415"/>
        <c:crosses val="autoZero"/>
        <c:auto val="1"/>
        <c:lblAlgn val="ctr"/>
        <c:lblOffset val="100"/>
        <c:noMultiLvlLbl val="0"/>
      </c:catAx>
      <c:valAx>
        <c:axId val="105541841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All Course Completion Counts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031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All Spring Term Course Completion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'Spring Course Completions'!$E$5:$I$5</c:f>
              <c:strCache>
                <c:ptCount val="1"/>
                <c:pt idx="0">
                  <c:v>Filipino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'Spring Course Completions'!$D$7:$D$12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'Spring Course Completions'!$G$7:$G$12</c:f>
              <c:numCache>
                <c:formatCode>0.00%</c:formatCode>
                <c:ptCount val="6"/>
                <c:pt idx="0">
                  <c:v>0.72899999999999998</c:v>
                </c:pt>
                <c:pt idx="1">
                  <c:v>0.73299999999999998</c:v>
                </c:pt>
                <c:pt idx="2">
                  <c:v>0.749</c:v>
                </c:pt>
                <c:pt idx="3">
                  <c:v>0.73459999999999992</c:v>
                </c:pt>
                <c:pt idx="4">
                  <c:v>0.79369999999999996</c:v>
                </c:pt>
                <c:pt idx="5">
                  <c:v>0.76622137404580148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30-4A2A-96EA-C7866983BEA6}"/>
            </c:ext>
          </c:extLst>
        </c:ser>
        <c:ser>
          <c:idx val="1"/>
          <c:order val="1"/>
          <c:tx>
            <c:strRef>
              <c:f>'Spring Course Completions'!$K$5:$P$5</c:f>
              <c:strCache>
                <c:ptCount val="1"/>
                <c:pt idx="0">
                  <c:v>Native Hawaiian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'Spring Course Completions'!$D$7:$D$12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'Spring Course Completions'!$M$7:$M$12</c:f>
              <c:numCache>
                <c:formatCode>0.00%</c:formatCode>
                <c:ptCount val="6"/>
                <c:pt idx="0">
                  <c:v>0.66300000000000003</c:v>
                </c:pt>
                <c:pt idx="1">
                  <c:v>0.65100000000000002</c:v>
                </c:pt>
                <c:pt idx="2">
                  <c:v>0.64100000000000001</c:v>
                </c:pt>
                <c:pt idx="3">
                  <c:v>0.69499999999999995</c:v>
                </c:pt>
                <c:pt idx="4">
                  <c:v>0.72440000000000004</c:v>
                </c:pt>
                <c:pt idx="5">
                  <c:v>0.72424598511555038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30-4A2A-96EA-C7866983BEA6}"/>
            </c:ext>
          </c:extLst>
        </c:ser>
        <c:ser>
          <c:idx val="2"/>
          <c:order val="2"/>
          <c:tx>
            <c:strRef>
              <c:f>'Spring Course Completions'!$Q$5:$V$5</c:f>
              <c:strCache>
                <c:ptCount val="1"/>
                <c:pt idx="0">
                  <c:v>Pacific Islander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'Spring Course Completions'!$D$7:$D$12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'Spring Course Completions'!$S$7:$S$12</c:f>
              <c:numCache>
                <c:formatCode>0.00%</c:formatCode>
                <c:ptCount val="6"/>
                <c:pt idx="0">
                  <c:v>0.6294277929155313</c:v>
                </c:pt>
                <c:pt idx="1">
                  <c:v>0.605080831408776</c:v>
                </c:pt>
                <c:pt idx="2">
                  <c:v>0.52083333333333337</c:v>
                </c:pt>
                <c:pt idx="3">
                  <c:v>0.55371900826446285</c:v>
                </c:pt>
                <c:pt idx="4">
                  <c:v>0.58433734939759041</c:v>
                </c:pt>
                <c:pt idx="5">
                  <c:v>0.59701492537313428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30-4A2A-96EA-C7866983BEA6}"/>
            </c:ext>
          </c:extLst>
        </c:ser>
        <c:ser>
          <c:idx val="3"/>
          <c:order val="3"/>
          <c:tx>
            <c:strRef>
              <c:f>'Spring Course Completions'!$W$5:$AB$5</c:f>
              <c:strCache>
                <c:ptCount val="1"/>
                <c:pt idx="0">
                  <c:v>Pell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'Spring Course Completions'!$D$7:$D$12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'Spring Course Completions'!$Y$7:$Y$12</c:f>
              <c:numCache>
                <c:formatCode>0.00%</c:formatCode>
                <c:ptCount val="6"/>
                <c:pt idx="0">
                  <c:v>0.73256802721088432</c:v>
                </c:pt>
                <c:pt idx="1">
                  <c:v>0.72115587428812489</c:v>
                </c:pt>
                <c:pt idx="2">
                  <c:v>0.71958041958041963</c:v>
                </c:pt>
                <c:pt idx="3">
                  <c:v>0.74566145092460878</c:v>
                </c:pt>
                <c:pt idx="4">
                  <c:v>0.76885644768856443</c:v>
                </c:pt>
                <c:pt idx="5">
                  <c:v>0.73878722640832439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30-4A2A-96EA-C7866983BEA6}"/>
            </c:ext>
          </c:extLst>
        </c:ser>
        <c:ser>
          <c:idx val="4"/>
          <c:order val="4"/>
          <c:tx>
            <c:strRef>
              <c:f>'Spring Course Completions'!$AC$5:$AH$5</c:f>
              <c:strCache>
                <c:ptCount val="1"/>
                <c:pt idx="0">
                  <c:v>All Students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'Spring Course Completions'!$D$7:$D$12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'Spring Course Completions'!$AE$7:$AE$12</c:f>
              <c:numCache>
                <c:formatCode>0.00%</c:formatCode>
                <c:ptCount val="6"/>
                <c:pt idx="0">
                  <c:v>0.7423186569528033</c:v>
                </c:pt>
                <c:pt idx="1">
                  <c:v>0.73134087237479806</c:v>
                </c:pt>
                <c:pt idx="2">
                  <c:v>0.73338342388163213</c:v>
                </c:pt>
                <c:pt idx="3">
                  <c:v>0.74445141065830722</c:v>
                </c:pt>
                <c:pt idx="4">
                  <c:v>0.78011020729467329</c:v>
                </c:pt>
                <c:pt idx="5">
                  <c:v>0.76866495034939319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30-4A2A-96EA-C7866983B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183999"/>
        <c:axId val="1135543215"/>
      </c:lineChart>
      <c:catAx>
        <c:axId val="11421839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Spring Term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5543215"/>
        <c:crosses val="autoZero"/>
        <c:auto val="1"/>
        <c:lblAlgn val="ctr"/>
        <c:lblOffset val="100"/>
        <c:noMultiLvlLbl val="0"/>
      </c:catAx>
      <c:valAx>
        <c:axId val="113554321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All</a:t>
                </a:r>
                <a:r>
                  <a:rPr lang="en-US" baseline="0"/>
                  <a:t> Course Completion %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2183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College</a:t>
            </a:r>
            <a:r>
              <a:rPr lang="en-US" baseline="0"/>
              <a:t> Level Spring Term Course Completion Counts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7547195618117"/>
          <c:y val="0.12962864096639651"/>
          <c:w val="0.66955965486149327"/>
          <c:h val="0.71518288904030725"/>
        </c:manualLayout>
      </c:layout>
      <c:lineChart>
        <c:grouping val="standard"/>
        <c:varyColors val="0"/>
        <c:ser>
          <c:idx val="0"/>
          <c:order val="0"/>
          <c:tx>
            <c:strRef>
              <c:f>'Spring Course Completions'!$E$5:$I$5</c:f>
              <c:strCache>
                <c:ptCount val="1"/>
                <c:pt idx="0">
                  <c:v>Filipino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3719870384429301E-2"/>
                  <c:y val="3.31761236483800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374-4BC7-973F-0BDA9D46A612}"/>
                </c:ext>
              </c:extLst>
            </c:dLbl>
            <c:dLbl>
              <c:idx val="1"/>
              <c:layout>
                <c:manualLayout>
                  <c:x val="-6.9902166066229954E-2"/>
                  <c:y val="3.31761236483800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74-4BC7-973F-0BDA9D46A612}"/>
                </c:ext>
              </c:extLst>
            </c:dLbl>
            <c:dLbl>
              <c:idx val="2"/>
              <c:layout>
                <c:manualLayout>
                  <c:x val="1.2178476775055761E-2"/>
                  <c:y val="-5.0703288138988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374-4BC7-973F-0BDA9D46A6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'Spring Course Completions'!$D$7:$D$12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'Spring Course Completions'!$I$7:$I$12</c:f>
              <c:numCache>
                <c:formatCode>General</c:formatCode>
                <c:ptCount val="6"/>
                <c:pt idx="0">
                  <c:v>1895</c:v>
                </c:pt>
                <c:pt idx="1">
                  <c:v>1925</c:v>
                </c:pt>
                <c:pt idx="2">
                  <c:v>1849</c:v>
                </c:pt>
                <c:pt idx="3">
                  <c:v>1693</c:v>
                </c:pt>
                <c:pt idx="4">
                  <c:v>1907</c:v>
                </c:pt>
                <c:pt idx="5">
                  <c:v>1591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74-4BC7-973F-0BDA9D46A612}"/>
            </c:ext>
          </c:extLst>
        </c:ser>
        <c:ser>
          <c:idx val="1"/>
          <c:order val="1"/>
          <c:tx>
            <c:strRef>
              <c:f>'Spring Course Completions'!$K$5:$P$5</c:f>
              <c:strCache>
                <c:ptCount val="1"/>
                <c:pt idx="0">
                  <c:v>Native Hawaiian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1.5996181093255103E-2"/>
                  <c:y val="1.57535332275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74-4BC7-973F-0BDA9D46A6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'Spring Course Completions'!$D$7:$D$12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'Spring Course Completions'!$O$7:$O$12</c:f>
              <c:numCache>
                <c:formatCode>General</c:formatCode>
                <c:ptCount val="6"/>
                <c:pt idx="0">
                  <c:v>1934</c:v>
                </c:pt>
                <c:pt idx="1">
                  <c:v>1994</c:v>
                </c:pt>
                <c:pt idx="2">
                  <c:v>1784</c:v>
                </c:pt>
                <c:pt idx="3">
                  <c:v>1801</c:v>
                </c:pt>
                <c:pt idx="4">
                  <c:v>2022</c:v>
                </c:pt>
                <c:pt idx="5">
                  <c:v>1842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74-4BC7-973F-0BDA9D46A612}"/>
            </c:ext>
          </c:extLst>
        </c:ser>
        <c:ser>
          <c:idx val="2"/>
          <c:order val="2"/>
          <c:tx>
            <c:strRef>
              <c:f>'Spring Course Completions'!$Q$5:$V$5</c:f>
              <c:strCache>
                <c:ptCount val="1"/>
                <c:pt idx="0">
                  <c:v>Pacific Islander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'Spring Course Completions'!$D$7:$D$12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'Spring Course Completions'!$U$7:$U$12</c:f>
              <c:numCache>
                <c:formatCode>General</c:formatCode>
                <c:ptCount val="6"/>
                <c:pt idx="0">
                  <c:v>216</c:v>
                </c:pt>
                <c:pt idx="1">
                  <c:v>248</c:v>
                </c:pt>
                <c:pt idx="2">
                  <c:v>191</c:v>
                </c:pt>
                <c:pt idx="3">
                  <c:v>187</c:v>
                </c:pt>
                <c:pt idx="4">
                  <c:v>180</c:v>
                </c:pt>
                <c:pt idx="5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74-4BC7-973F-0BDA9D46A612}"/>
            </c:ext>
          </c:extLst>
        </c:ser>
        <c:ser>
          <c:idx val="3"/>
          <c:order val="3"/>
          <c:tx>
            <c:strRef>
              <c:f>'Spring Course Completions'!$W$5:$AB$5</c:f>
              <c:strCache>
                <c:ptCount val="1"/>
                <c:pt idx="0">
                  <c:v>Pell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'Spring Course Completions'!$D$7:$D$12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'Spring Course Completions'!$AA$7:$AA$12</c:f>
              <c:numCache>
                <c:formatCode>General</c:formatCode>
                <c:ptCount val="6"/>
                <c:pt idx="0">
                  <c:v>3306</c:v>
                </c:pt>
                <c:pt idx="1">
                  <c:v>3334</c:v>
                </c:pt>
                <c:pt idx="2">
                  <c:v>3004</c:v>
                </c:pt>
                <c:pt idx="3">
                  <c:v>2547</c:v>
                </c:pt>
                <c:pt idx="4">
                  <c:v>2462</c:v>
                </c:pt>
                <c:pt idx="5">
                  <c:v>2029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74-4BC7-973F-0BDA9D46A612}"/>
            </c:ext>
          </c:extLst>
        </c:ser>
        <c:ser>
          <c:idx val="4"/>
          <c:order val="4"/>
          <c:tx>
            <c:strRef>
              <c:f>'Spring Course Completions'!$AC$5:$AH$5</c:f>
              <c:strCache>
                <c:ptCount val="1"/>
                <c:pt idx="0">
                  <c:v>All Students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'Spring Course Completions'!$D$7:$D$12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'Spring Course Completions'!$AG$7:$AG$12</c:f>
              <c:numCache>
                <c:formatCode>General</c:formatCode>
                <c:ptCount val="6"/>
                <c:pt idx="0">
                  <c:v>13516</c:v>
                </c:pt>
                <c:pt idx="1">
                  <c:v>13163</c:v>
                </c:pt>
                <c:pt idx="2">
                  <c:v>12275</c:v>
                </c:pt>
                <c:pt idx="3">
                  <c:v>11435</c:v>
                </c:pt>
                <c:pt idx="4">
                  <c:v>11625</c:v>
                </c:pt>
                <c:pt idx="5">
                  <c:v>10248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74-4BC7-973F-0BDA9D46A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922607"/>
        <c:axId val="1054935327"/>
      </c:lineChart>
      <c:catAx>
        <c:axId val="11739226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Spring</a:t>
                </a:r>
                <a:r>
                  <a:rPr lang="en-US" baseline="0"/>
                  <a:t> Year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4935327"/>
        <c:crosses val="autoZero"/>
        <c:auto val="1"/>
        <c:lblAlgn val="ctr"/>
        <c:lblOffset val="100"/>
        <c:noMultiLvlLbl val="0"/>
      </c:catAx>
      <c:valAx>
        <c:axId val="105493532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College</a:t>
                </a:r>
                <a:r>
                  <a:rPr lang="en-US" baseline="0"/>
                  <a:t> Level Course Cmopletion Counts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3922607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College Level Spring Term Coures Completion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'Spring Course Completions'!$E$5:$I$5</c:f>
              <c:strCache>
                <c:ptCount val="1"/>
                <c:pt idx="0">
                  <c:v>Filipino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'Spring Course Completions'!$D$7:$D$12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'Spring Course Completions'!$J$7:$J$12</c:f>
              <c:numCache>
                <c:formatCode>0%</c:formatCode>
                <c:ptCount val="6"/>
                <c:pt idx="0" formatCode="0.00%">
                  <c:v>0.73099999999999998</c:v>
                </c:pt>
                <c:pt idx="1">
                  <c:v>0.73699999999999999</c:v>
                </c:pt>
                <c:pt idx="2" formatCode="0.00%">
                  <c:v>0.755</c:v>
                </c:pt>
                <c:pt idx="3" formatCode="0.00%">
                  <c:v>0.73640000000000005</c:v>
                </c:pt>
                <c:pt idx="4" formatCode="0.00%">
                  <c:v>0.79759999999999998</c:v>
                </c:pt>
                <c:pt idx="5" formatCode="0.00%">
                  <c:v>0.7678571428571429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98-47AA-9A90-B9615F0E2846}"/>
            </c:ext>
          </c:extLst>
        </c:ser>
        <c:ser>
          <c:idx val="1"/>
          <c:order val="1"/>
          <c:tx>
            <c:strRef>
              <c:f>'Spring Course Completions'!$K$5:$P$5</c:f>
              <c:strCache>
                <c:ptCount val="1"/>
                <c:pt idx="0">
                  <c:v>Native Hawaiian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'Spring Course Completions'!$D$7:$D$12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'Spring Course Completions'!$P$7:$P$12</c:f>
              <c:numCache>
                <c:formatCode>0.00%</c:formatCode>
                <c:ptCount val="6"/>
                <c:pt idx="0">
                  <c:v>0.66900000000000004</c:v>
                </c:pt>
                <c:pt idx="1">
                  <c:v>0.65900000000000003</c:v>
                </c:pt>
                <c:pt idx="2">
                  <c:v>0.64900000000000002</c:v>
                </c:pt>
                <c:pt idx="3">
                  <c:v>0.6986</c:v>
                </c:pt>
                <c:pt idx="4">
                  <c:v>0.73209999999999997</c:v>
                </c:pt>
                <c:pt idx="5">
                  <c:v>0.72979397781299526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98-47AA-9A90-B9615F0E2846}"/>
            </c:ext>
          </c:extLst>
        </c:ser>
        <c:ser>
          <c:idx val="2"/>
          <c:order val="2"/>
          <c:tx>
            <c:strRef>
              <c:f>'Spring Course Completions'!$Q$5:$V$5</c:f>
              <c:strCache>
                <c:ptCount val="1"/>
                <c:pt idx="0">
                  <c:v>Pacific Islander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'Spring Course Completions'!$D$7:$D$12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'Spring Course Completions'!$V$7:$V$12</c:f>
              <c:numCache>
                <c:formatCode>0.00%</c:formatCode>
                <c:ptCount val="6"/>
                <c:pt idx="0">
                  <c:v>0.63716814159292035</c:v>
                </c:pt>
                <c:pt idx="1">
                  <c:v>0.6004842615012107</c:v>
                </c:pt>
                <c:pt idx="2">
                  <c:v>0.53203342618384397</c:v>
                </c:pt>
                <c:pt idx="3">
                  <c:v>0.56495468277945615</c:v>
                </c:pt>
                <c:pt idx="4">
                  <c:v>0.58823529411764708</c:v>
                </c:pt>
                <c:pt idx="5">
                  <c:v>0.60615384615384615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98-47AA-9A90-B9615F0E2846}"/>
            </c:ext>
          </c:extLst>
        </c:ser>
        <c:ser>
          <c:idx val="3"/>
          <c:order val="3"/>
          <c:tx>
            <c:strRef>
              <c:f>'Spring Course Completions'!$W$5:$AB$5</c:f>
              <c:strCache>
                <c:ptCount val="1"/>
                <c:pt idx="0">
                  <c:v>Pell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'Spring Course Completions'!$D$7:$D$12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'Spring Course Completions'!$AB$7:$AB$12</c:f>
              <c:numCache>
                <c:formatCode>0.00%</c:formatCode>
                <c:ptCount val="6"/>
                <c:pt idx="0">
                  <c:v>0.7349933303690529</c:v>
                </c:pt>
                <c:pt idx="1">
                  <c:v>0.725887219682125</c:v>
                </c:pt>
                <c:pt idx="2">
                  <c:v>0.72700871248789933</c:v>
                </c:pt>
                <c:pt idx="3">
                  <c:v>0.748897383122611</c:v>
                </c:pt>
                <c:pt idx="4">
                  <c:v>0.77616645649432536</c:v>
                </c:pt>
                <c:pt idx="5">
                  <c:v>0.74159356725146197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98-47AA-9A90-B9615F0E2846}"/>
            </c:ext>
          </c:extLst>
        </c:ser>
        <c:ser>
          <c:idx val="4"/>
          <c:order val="4"/>
          <c:tx>
            <c:strRef>
              <c:f>'Spring Course Completions'!$AC$5:$AH$5</c:f>
              <c:strCache>
                <c:ptCount val="1"/>
                <c:pt idx="0">
                  <c:v>All Students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'Spring Course Completions'!$D$7:$D$12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'Spring Course Completions'!$AH$7:$AH$12</c:f>
              <c:numCache>
                <c:formatCode>0.00%</c:formatCode>
                <c:ptCount val="6"/>
                <c:pt idx="0">
                  <c:v>0.74529914529914532</c:v>
                </c:pt>
                <c:pt idx="1">
                  <c:v>0.73433751743375175</c:v>
                </c:pt>
                <c:pt idx="2">
                  <c:v>0.73794637489479376</c:v>
                </c:pt>
                <c:pt idx="3">
                  <c:v>0.7453881754774786</c:v>
                </c:pt>
                <c:pt idx="4">
                  <c:v>0.78536684231860554</c:v>
                </c:pt>
                <c:pt idx="5">
                  <c:v>0.7713382507903056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98-47AA-9A90-B9615F0E2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907807"/>
        <c:axId val="1045419391"/>
      </c:lineChart>
      <c:catAx>
        <c:axId val="11769078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Spring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5419391"/>
        <c:crosses val="autoZero"/>
        <c:auto val="1"/>
        <c:lblAlgn val="ctr"/>
        <c:lblOffset val="100"/>
        <c:noMultiLvlLbl val="0"/>
      </c:catAx>
      <c:valAx>
        <c:axId val="104541939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College</a:t>
                </a:r>
                <a:r>
                  <a:rPr lang="en-US" baseline="0"/>
                  <a:t> Level Course Completion %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907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Degrees and Certificates of Achievement</a:t>
            </a:r>
            <a:r>
              <a:rPr lang="en-US" baseline="0"/>
              <a:t> Earned by Fall Kapi`olani Comunity College Cohorts Within Three Academic Years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33404869922528"/>
          <c:y val="0.3272167216721672"/>
          <c:w val="0.61645023467993398"/>
          <c:h val="0.41578302712160981"/>
        </c:manualLayout>
      </c:layout>
      <c:lineChart>
        <c:grouping val="standard"/>
        <c:varyColors val="0"/>
        <c:ser>
          <c:idx val="0"/>
          <c:order val="0"/>
          <c:tx>
            <c:v>All Students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'Cohort Grad Rates'!$B$6:$B$12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'Cohort Grad Rates'!$P$6:$P$11</c:f>
              <c:numCache>
                <c:formatCode>General</c:formatCode>
                <c:ptCount val="6"/>
                <c:pt idx="0">
                  <c:v>202</c:v>
                </c:pt>
                <c:pt idx="1">
                  <c:v>226</c:v>
                </c:pt>
                <c:pt idx="2">
                  <c:v>205</c:v>
                </c:pt>
                <c:pt idx="3">
                  <c:v>227</c:v>
                </c:pt>
                <c:pt idx="4">
                  <c:v>198</c:v>
                </c:pt>
                <c:pt idx="5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60-40F7-AD35-6C7842EDFF2E}"/>
            </c:ext>
          </c:extLst>
        </c:ser>
        <c:ser>
          <c:idx val="1"/>
          <c:order val="1"/>
          <c:tx>
            <c:strRef>
              <c:f>'Cohort Grad Rates'!$C$4</c:f>
              <c:strCache>
                <c:ptCount val="1"/>
                <c:pt idx="0">
                  <c:v>Filipino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'Cohort Grad Rates'!$B$6:$B$12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'Cohort Grad Rates'!$D$6:$D$12</c:f>
              <c:numCache>
                <c:formatCode>General</c:formatCode>
                <c:ptCount val="7"/>
                <c:pt idx="0">
                  <c:v>18</c:v>
                </c:pt>
                <c:pt idx="1">
                  <c:v>32</c:v>
                </c:pt>
                <c:pt idx="2">
                  <c:v>26</c:v>
                </c:pt>
                <c:pt idx="3">
                  <c:v>34</c:v>
                </c:pt>
                <c:pt idx="4">
                  <c:v>31</c:v>
                </c:pt>
                <c:pt idx="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60-40F7-AD35-6C7842EDFF2E}"/>
            </c:ext>
          </c:extLst>
        </c:ser>
        <c:ser>
          <c:idx val="2"/>
          <c:order val="2"/>
          <c:tx>
            <c:strRef>
              <c:f>'Cohort Grad Rates'!$F$4</c:f>
              <c:strCache>
                <c:ptCount val="1"/>
                <c:pt idx="0">
                  <c:v>Native Hawaiian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'Cohort Grad Rates'!$B$6:$B$12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'Cohort Grad Rates'!$G$6:$G$11</c:f>
              <c:numCache>
                <c:formatCode>General</c:formatCode>
                <c:ptCount val="6"/>
                <c:pt idx="0">
                  <c:v>20</c:v>
                </c:pt>
                <c:pt idx="1">
                  <c:v>21</c:v>
                </c:pt>
                <c:pt idx="2">
                  <c:v>24</c:v>
                </c:pt>
                <c:pt idx="3">
                  <c:v>21</c:v>
                </c:pt>
                <c:pt idx="4">
                  <c:v>17</c:v>
                </c:pt>
                <c:pt idx="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60-40F7-AD35-6C7842EDFF2E}"/>
            </c:ext>
          </c:extLst>
        </c:ser>
        <c:ser>
          <c:idx val="3"/>
          <c:order val="3"/>
          <c:tx>
            <c:strRef>
              <c:f>'Cohort Grad Rates'!$L$4</c:f>
              <c:strCache>
                <c:ptCount val="1"/>
                <c:pt idx="0">
                  <c:v>Pell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'Cohort Grad Rates'!$B$6:$B$12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'Cohort Grad Rates'!$M$6:$M$11</c:f>
              <c:numCache>
                <c:formatCode>General</c:formatCode>
                <c:ptCount val="6"/>
                <c:pt idx="0">
                  <c:v>69</c:v>
                </c:pt>
                <c:pt idx="1">
                  <c:v>77</c:v>
                </c:pt>
                <c:pt idx="2">
                  <c:v>65</c:v>
                </c:pt>
                <c:pt idx="3">
                  <c:v>53</c:v>
                </c:pt>
                <c:pt idx="4">
                  <c:v>53</c:v>
                </c:pt>
                <c:pt idx="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60-40F7-AD35-6C7842EDF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205120"/>
        <c:axId val="388205776"/>
      </c:lineChart>
      <c:catAx>
        <c:axId val="388205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Fall</a:t>
                </a:r>
                <a:r>
                  <a:rPr lang="en-US" baseline="0"/>
                  <a:t> Cohort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205776"/>
        <c:crosses val="autoZero"/>
        <c:auto val="1"/>
        <c:lblAlgn val="ctr"/>
        <c:lblOffset val="100"/>
        <c:noMultiLvlLbl val="0"/>
      </c:catAx>
      <c:valAx>
        <c:axId val="3882057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Degrees and Certificates Awarded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20512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Fall Transfers From Kapi`olani Community College</a:t>
            </a:r>
            <a:r>
              <a:rPr lang="en-US" baseline="0"/>
              <a:t> to UH 4-year Institutions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Filipino Students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'Transfers to UH 4 Year Institut'!$A$4:$A$8</c:f>
              <c:strCache>
                <c:ptCount val="5"/>
                <c:pt idx="0">
                  <c:v> 2016-2017</c:v>
                </c:pt>
                <c:pt idx="1">
                  <c:v> 2017-2018</c:v>
                </c:pt>
                <c:pt idx="2">
                  <c:v> 2018-2019</c:v>
                </c:pt>
                <c:pt idx="3">
                  <c:v> 2019-2020</c:v>
                </c:pt>
                <c:pt idx="4">
                  <c:v>2020-2021</c:v>
                </c:pt>
              </c:strCache>
            </c:strRef>
          </c:cat>
          <c:val>
            <c:numRef>
              <c:f>'Transfers to UH 4 Year Institut'!$B$4:$B$9</c:f>
              <c:numCache>
                <c:formatCode>General</c:formatCode>
                <c:ptCount val="6"/>
                <c:pt idx="0">
                  <c:v>61</c:v>
                </c:pt>
                <c:pt idx="1">
                  <c:v>55</c:v>
                </c:pt>
                <c:pt idx="2">
                  <c:v>73</c:v>
                </c:pt>
                <c:pt idx="3">
                  <c:v>58</c:v>
                </c:pt>
                <c:pt idx="4">
                  <c:v>59</c:v>
                </c:pt>
                <c:pt idx="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C7-45BC-8BF5-070A3EC17279}"/>
            </c:ext>
          </c:extLst>
        </c:ser>
        <c:ser>
          <c:idx val="1"/>
          <c:order val="1"/>
          <c:tx>
            <c:v>Native Hawaiian Students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'Transfers to UH 4 Year Institut'!$A$4:$A$8</c:f>
              <c:strCache>
                <c:ptCount val="5"/>
                <c:pt idx="0">
                  <c:v> 2016-2017</c:v>
                </c:pt>
                <c:pt idx="1">
                  <c:v> 2017-2018</c:v>
                </c:pt>
                <c:pt idx="2">
                  <c:v> 2018-2019</c:v>
                </c:pt>
                <c:pt idx="3">
                  <c:v> 2019-2020</c:v>
                </c:pt>
                <c:pt idx="4">
                  <c:v>2020-2021</c:v>
                </c:pt>
              </c:strCache>
            </c:strRef>
          </c:cat>
          <c:val>
            <c:numRef>
              <c:f>'Transfers to UH 4 Year Institut'!$C$4:$C$9</c:f>
              <c:numCache>
                <c:formatCode>General</c:formatCode>
                <c:ptCount val="6"/>
                <c:pt idx="0">
                  <c:v>106</c:v>
                </c:pt>
                <c:pt idx="1">
                  <c:v>97</c:v>
                </c:pt>
                <c:pt idx="2">
                  <c:v>106</c:v>
                </c:pt>
                <c:pt idx="3">
                  <c:v>115</c:v>
                </c:pt>
                <c:pt idx="4">
                  <c:v>111</c:v>
                </c:pt>
                <c:pt idx="5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C7-45BC-8BF5-070A3EC17279}"/>
            </c:ext>
          </c:extLst>
        </c:ser>
        <c:ser>
          <c:idx val="2"/>
          <c:order val="2"/>
          <c:tx>
            <c:v>Pacific Islander Students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&lt;5</a:t>
                    </a:r>
                  </a:p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C7-45BC-8BF5-070A3EC172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'Transfers to UH 4 Year Institut'!$A$4:$A$8</c:f>
              <c:strCache>
                <c:ptCount val="5"/>
                <c:pt idx="0">
                  <c:v> 2016-2017</c:v>
                </c:pt>
                <c:pt idx="1">
                  <c:v> 2017-2018</c:v>
                </c:pt>
                <c:pt idx="2">
                  <c:v> 2018-2019</c:v>
                </c:pt>
                <c:pt idx="3">
                  <c:v> 2019-2020</c:v>
                </c:pt>
                <c:pt idx="4">
                  <c:v>2020-2021</c:v>
                </c:pt>
              </c:strCache>
            </c:strRef>
          </c:cat>
          <c:val>
            <c:numRef>
              <c:f>'Transfers to UH 4 Year Institut'!$D$4:$D$9</c:f>
              <c:numCache>
                <c:formatCode>General</c:formatCode>
                <c:ptCount val="6"/>
                <c:pt idx="0">
                  <c:v>11</c:v>
                </c:pt>
                <c:pt idx="1">
                  <c:v>7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C7-45BC-8BF5-070A3EC17279}"/>
            </c:ext>
          </c:extLst>
        </c:ser>
        <c:ser>
          <c:idx val="3"/>
          <c:order val="3"/>
          <c:tx>
            <c:v>Pell Students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'Transfers to UH 4 Year Institut'!$A$4:$A$8</c:f>
              <c:strCache>
                <c:ptCount val="5"/>
                <c:pt idx="0">
                  <c:v> 2016-2017</c:v>
                </c:pt>
                <c:pt idx="1">
                  <c:v> 2017-2018</c:v>
                </c:pt>
                <c:pt idx="2">
                  <c:v> 2018-2019</c:v>
                </c:pt>
                <c:pt idx="3">
                  <c:v> 2019-2020</c:v>
                </c:pt>
                <c:pt idx="4">
                  <c:v>2020-2021</c:v>
                </c:pt>
              </c:strCache>
            </c:strRef>
          </c:cat>
          <c:val>
            <c:numRef>
              <c:f>'Transfers to UH 4 Year Institut'!$E$4:$E$9</c:f>
              <c:numCache>
                <c:formatCode>General</c:formatCode>
                <c:ptCount val="6"/>
                <c:pt idx="0">
                  <c:v>220</c:v>
                </c:pt>
                <c:pt idx="1">
                  <c:v>212</c:v>
                </c:pt>
                <c:pt idx="2">
                  <c:v>208</c:v>
                </c:pt>
                <c:pt idx="3">
                  <c:v>159</c:v>
                </c:pt>
                <c:pt idx="4">
                  <c:v>175</c:v>
                </c:pt>
                <c:pt idx="5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C7-45BC-8BF5-070A3EC17279}"/>
            </c:ext>
          </c:extLst>
        </c:ser>
        <c:ser>
          <c:idx val="4"/>
          <c:order val="4"/>
          <c:tx>
            <c:strRef>
              <c:f>'Transfers to UH 4 Year Institut'!$F$3</c:f>
              <c:strCache>
                <c:ptCount val="1"/>
                <c:pt idx="0">
                  <c:v>All Students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'Transfers to UH 4 Year Institut'!$A$4:$A$8</c:f>
              <c:strCache>
                <c:ptCount val="5"/>
                <c:pt idx="0">
                  <c:v> 2016-2017</c:v>
                </c:pt>
                <c:pt idx="1">
                  <c:v> 2017-2018</c:v>
                </c:pt>
                <c:pt idx="2">
                  <c:v> 2018-2019</c:v>
                </c:pt>
                <c:pt idx="3">
                  <c:v> 2019-2020</c:v>
                </c:pt>
                <c:pt idx="4">
                  <c:v>2020-2021</c:v>
                </c:pt>
              </c:strCache>
            </c:strRef>
          </c:cat>
          <c:val>
            <c:numRef>
              <c:f>'Transfers to UH 4 Year Institut'!$F$4:$F$9</c:f>
              <c:numCache>
                <c:formatCode>General</c:formatCode>
                <c:ptCount val="6"/>
                <c:pt idx="0">
                  <c:v>543</c:v>
                </c:pt>
                <c:pt idx="1">
                  <c:v>506</c:v>
                </c:pt>
                <c:pt idx="2">
                  <c:v>535</c:v>
                </c:pt>
                <c:pt idx="3">
                  <c:v>502</c:v>
                </c:pt>
                <c:pt idx="4">
                  <c:v>520</c:v>
                </c:pt>
                <c:pt idx="5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68-4E4F-BE3E-C80B67F29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3171248"/>
        <c:axId val="1705589584"/>
      </c:lineChart>
      <c:catAx>
        <c:axId val="1463171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5589584"/>
        <c:crosses val="autoZero"/>
        <c:auto val="1"/>
        <c:lblAlgn val="ctr"/>
        <c:lblOffset val="100"/>
        <c:noMultiLvlLbl val="0"/>
      </c:catAx>
      <c:valAx>
        <c:axId val="17055895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Transfers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317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UH</a:t>
            </a:r>
            <a:r>
              <a:rPr lang="en-US" baseline="0"/>
              <a:t> 4-Yr Transfers by Fall Kapi`olani Community College Cohorts Within Three Academic Years-Counts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53366634316927"/>
          <c:y val="0.10122910229973731"/>
          <c:w val="0.63555640888309728"/>
          <c:h val="0.73465762882551389"/>
        </c:manualLayout>
      </c:layout>
      <c:lineChart>
        <c:grouping val="standard"/>
        <c:varyColors val="0"/>
        <c:ser>
          <c:idx val="0"/>
          <c:order val="0"/>
          <c:tx>
            <c:v>All Students Count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'Cohort Transfer'!$D$7:$D$11</c:f>
              <c:strCache>
                <c:ptCount val="5"/>
                <c:pt idx="0">
                  <c:v>2016-2017</c:v>
                </c:pt>
                <c:pt idx="1">
                  <c:v>2017-2018</c:v>
                </c:pt>
                <c:pt idx="2">
                  <c:v>2018-2019</c:v>
                </c:pt>
                <c:pt idx="3">
                  <c:v>2019-2020</c:v>
                </c:pt>
                <c:pt idx="4">
                  <c:v>2020-2021</c:v>
                </c:pt>
              </c:strCache>
            </c:strRef>
          </c:cat>
          <c:val>
            <c:numRef>
              <c:f>'Cohort Transfer'!$R$7:$R$12</c:f>
              <c:numCache>
                <c:formatCode>General</c:formatCode>
                <c:ptCount val="6"/>
                <c:pt idx="0">
                  <c:v>113</c:v>
                </c:pt>
                <c:pt idx="1">
                  <c:v>137</c:v>
                </c:pt>
                <c:pt idx="2">
                  <c:v>133</c:v>
                </c:pt>
                <c:pt idx="3">
                  <c:v>155</c:v>
                </c:pt>
                <c:pt idx="4">
                  <c:v>112</c:v>
                </c:pt>
                <c:pt idx="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EE-44E3-B4E0-C2FB35BA0E91}"/>
            </c:ext>
          </c:extLst>
        </c:ser>
        <c:ser>
          <c:idx val="1"/>
          <c:order val="1"/>
          <c:tx>
            <c:v>Filipino Count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'Cohort Transfer'!$D$7:$D$11</c:f>
              <c:strCache>
                <c:ptCount val="5"/>
                <c:pt idx="0">
                  <c:v>2016-2017</c:v>
                </c:pt>
                <c:pt idx="1">
                  <c:v>2017-2018</c:v>
                </c:pt>
                <c:pt idx="2">
                  <c:v>2018-2019</c:v>
                </c:pt>
                <c:pt idx="3">
                  <c:v>2019-2020</c:v>
                </c:pt>
                <c:pt idx="4">
                  <c:v>2020-2021</c:v>
                </c:pt>
              </c:strCache>
            </c:strRef>
          </c:cat>
          <c:val>
            <c:numRef>
              <c:f>'Cohort Transfer'!$F$7:$F$12</c:f>
              <c:numCache>
                <c:formatCode>General</c:formatCode>
                <c:ptCount val="6"/>
                <c:pt idx="0">
                  <c:v>4</c:v>
                </c:pt>
                <c:pt idx="1">
                  <c:v>12</c:v>
                </c:pt>
                <c:pt idx="2">
                  <c:v>14</c:v>
                </c:pt>
                <c:pt idx="3">
                  <c:v>13</c:v>
                </c:pt>
                <c:pt idx="4">
                  <c:v>11</c:v>
                </c:pt>
                <c:pt idx="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EE-44E3-B4E0-C2FB35BA0E91}"/>
            </c:ext>
          </c:extLst>
        </c:ser>
        <c:ser>
          <c:idx val="2"/>
          <c:order val="2"/>
          <c:tx>
            <c:v>Native Hawaiian Count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'Cohort Transfer'!$D$7:$D$11</c:f>
              <c:strCache>
                <c:ptCount val="5"/>
                <c:pt idx="0">
                  <c:v>2016-2017</c:v>
                </c:pt>
                <c:pt idx="1">
                  <c:v>2017-2018</c:v>
                </c:pt>
                <c:pt idx="2">
                  <c:v>2018-2019</c:v>
                </c:pt>
                <c:pt idx="3">
                  <c:v>2019-2020</c:v>
                </c:pt>
                <c:pt idx="4">
                  <c:v>2020-2021</c:v>
                </c:pt>
              </c:strCache>
            </c:strRef>
          </c:cat>
          <c:val>
            <c:numRef>
              <c:f>'Cohort Transfer'!$I$7:$I$12</c:f>
              <c:numCache>
                <c:formatCode>General</c:formatCode>
                <c:ptCount val="6"/>
                <c:pt idx="0">
                  <c:v>8</c:v>
                </c:pt>
                <c:pt idx="1">
                  <c:v>17</c:v>
                </c:pt>
                <c:pt idx="2">
                  <c:v>13</c:v>
                </c:pt>
                <c:pt idx="3">
                  <c:v>20</c:v>
                </c:pt>
                <c:pt idx="4">
                  <c:v>16</c:v>
                </c:pt>
                <c:pt idx="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EE-44E3-B4E0-C2FB35BA0E91}"/>
            </c:ext>
          </c:extLst>
        </c:ser>
        <c:ser>
          <c:idx val="3"/>
          <c:order val="3"/>
          <c:tx>
            <c:v>Pacific Islander Count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'Cohort Transfer'!$D$7:$D$11</c:f>
              <c:strCache>
                <c:ptCount val="5"/>
                <c:pt idx="0">
                  <c:v>2016-2017</c:v>
                </c:pt>
                <c:pt idx="1">
                  <c:v>2017-2018</c:v>
                </c:pt>
                <c:pt idx="2">
                  <c:v>2018-2019</c:v>
                </c:pt>
                <c:pt idx="3">
                  <c:v>2019-2020</c:v>
                </c:pt>
                <c:pt idx="4">
                  <c:v>2020-2021</c:v>
                </c:pt>
              </c:strCache>
            </c:strRef>
          </c:cat>
          <c:val>
            <c:numRef>
              <c:f>'Cohort Transfer'!$L$7:$L$12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EE-44E3-B4E0-C2FB35BA0E91}"/>
            </c:ext>
          </c:extLst>
        </c:ser>
        <c:ser>
          <c:idx val="4"/>
          <c:order val="4"/>
          <c:tx>
            <c:v>Pell Count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'Cohort Transfer'!$D$7:$D$11</c:f>
              <c:strCache>
                <c:ptCount val="5"/>
                <c:pt idx="0">
                  <c:v>2016-2017</c:v>
                </c:pt>
                <c:pt idx="1">
                  <c:v>2017-2018</c:v>
                </c:pt>
                <c:pt idx="2">
                  <c:v>2018-2019</c:v>
                </c:pt>
                <c:pt idx="3">
                  <c:v>2019-2020</c:v>
                </c:pt>
                <c:pt idx="4">
                  <c:v>2020-2021</c:v>
                </c:pt>
              </c:strCache>
            </c:strRef>
          </c:cat>
          <c:val>
            <c:numRef>
              <c:f>'Cohort Transfer'!$O$7:$O$12</c:f>
              <c:numCache>
                <c:formatCode>General</c:formatCode>
                <c:ptCount val="6"/>
                <c:pt idx="0">
                  <c:v>54</c:v>
                </c:pt>
                <c:pt idx="1">
                  <c:v>49</c:v>
                </c:pt>
                <c:pt idx="2">
                  <c:v>38</c:v>
                </c:pt>
                <c:pt idx="3">
                  <c:v>36</c:v>
                </c:pt>
                <c:pt idx="4">
                  <c:v>27</c:v>
                </c:pt>
                <c:pt idx="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EE-44E3-B4E0-C2FB35BA0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4347552"/>
        <c:axId val="1496427024"/>
      </c:lineChart>
      <c:catAx>
        <c:axId val="1484347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Fall Cohort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6427024"/>
        <c:crosses val="autoZero"/>
        <c:auto val="1"/>
        <c:lblAlgn val="ctr"/>
        <c:lblOffset val="100"/>
        <c:noMultiLvlLbl val="0"/>
      </c:catAx>
      <c:valAx>
        <c:axId val="14964270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 o</a:t>
                </a:r>
                <a:r>
                  <a:rPr lang="en-US" baseline="0"/>
                  <a:t>f Cohort Transfers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34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UH</a:t>
            </a:r>
            <a:r>
              <a:rPr lang="en-US" baseline="0"/>
              <a:t> 4-Yr Transfers by Fall Kapi`olani Community College Cohorts within Three Academic Years-Percentages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'Cohort Transfer'!$Q$5:$S$5</c:f>
              <c:strCache>
                <c:ptCount val="1"/>
                <c:pt idx="0">
                  <c:v>All Students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'Cohort Transfer'!$D$7:$D$12</c:f>
              <c:strCache>
                <c:ptCount val="6"/>
                <c:pt idx="0">
                  <c:v>2016-2017</c:v>
                </c:pt>
                <c:pt idx="1">
                  <c:v>2017-2018</c:v>
                </c:pt>
                <c:pt idx="2">
                  <c:v>2018-2019</c:v>
                </c:pt>
                <c:pt idx="3">
                  <c:v>2019-2020</c:v>
                </c:pt>
                <c:pt idx="4">
                  <c:v>2020-2021</c:v>
                </c:pt>
                <c:pt idx="5">
                  <c:v>2021-2022</c:v>
                </c:pt>
              </c:strCache>
            </c:strRef>
          </c:cat>
          <c:val>
            <c:numRef>
              <c:f>'Cohort Transfer'!$S$7:$S$12</c:f>
              <c:numCache>
                <c:formatCode>0.00%</c:formatCode>
                <c:ptCount val="6"/>
                <c:pt idx="0">
                  <c:v>8.9896579156722362E-2</c:v>
                </c:pt>
                <c:pt idx="1">
                  <c:v>0.10873015873015873</c:v>
                </c:pt>
                <c:pt idx="2">
                  <c:v>0.11074104912572856</c:v>
                </c:pt>
                <c:pt idx="3">
                  <c:v>0.11346998535871157</c:v>
                </c:pt>
                <c:pt idx="4">
                  <c:v>0.10486891385767791</c:v>
                </c:pt>
                <c:pt idx="5">
                  <c:v>0.12683438155136267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19-48DC-9ED5-CC4E1C061AD1}"/>
            </c:ext>
          </c:extLst>
        </c:ser>
        <c:ser>
          <c:idx val="1"/>
          <c:order val="1"/>
          <c:tx>
            <c:strRef>
              <c:f>'Cohort Transfer'!$E$5:$G$5</c:f>
              <c:strCache>
                <c:ptCount val="1"/>
                <c:pt idx="0">
                  <c:v>Filipino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4855617009320649E-2"/>
                  <c:y val="7.11111020617383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19-48DC-9ED5-CC4E1C061AD1}"/>
                </c:ext>
              </c:extLst>
            </c:dLbl>
            <c:dLbl>
              <c:idx val="1"/>
              <c:layout>
                <c:manualLayout>
                  <c:x val="-2.2427808504660387E-2"/>
                  <c:y val="7.11111020617383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19-48DC-9ED5-CC4E1C061A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'Cohort Transfer'!$D$7:$D$12</c:f>
              <c:strCache>
                <c:ptCount val="6"/>
                <c:pt idx="0">
                  <c:v>2016-2017</c:v>
                </c:pt>
                <c:pt idx="1">
                  <c:v>2017-2018</c:v>
                </c:pt>
                <c:pt idx="2">
                  <c:v>2018-2019</c:v>
                </c:pt>
                <c:pt idx="3">
                  <c:v>2019-2020</c:v>
                </c:pt>
                <c:pt idx="4">
                  <c:v>2020-2021</c:v>
                </c:pt>
                <c:pt idx="5">
                  <c:v>2021-2022</c:v>
                </c:pt>
              </c:strCache>
            </c:strRef>
          </c:cat>
          <c:val>
            <c:numRef>
              <c:f>'Cohort Transfer'!$G$7:$G$12</c:f>
              <c:numCache>
                <c:formatCode>0.00%</c:formatCode>
                <c:ptCount val="6"/>
                <c:pt idx="0">
                  <c:v>2.9850746268656716E-2</c:v>
                </c:pt>
                <c:pt idx="1">
                  <c:v>7.0175438596491224E-2</c:v>
                </c:pt>
                <c:pt idx="2">
                  <c:v>9.3333333333333338E-2</c:v>
                </c:pt>
                <c:pt idx="3">
                  <c:v>6.1904761904761907E-2</c:v>
                </c:pt>
                <c:pt idx="4">
                  <c:v>7.2368421052631582E-2</c:v>
                </c:pt>
                <c:pt idx="5">
                  <c:v>0.12280701754385964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19-48DC-9ED5-CC4E1C061AD1}"/>
            </c:ext>
          </c:extLst>
        </c:ser>
        <c:ser>
          <c:idx val="2"/>
          <c:order val="2"/>
          <c:tx>
            <c:strRef>
              <c:f>'Cohort Transfer'!$H$5:$J$5</c:f>
              <c:strCache>
                <c:ptCount val="1"/>
                <c:pt idx="0">
                  <c:v>Native Hawaiian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'Cohort Transfer'!$D$7:$D$12</c:f>
              <c:strCache>
                <c:ptCount val="6"/>
                <c:pt idx="0">
                  <c:v>2016-2017</c:v>
                </c:pt>
                <c:pt idx="1">
                  <c:v>2017-2018</c:v>
                </c:pt>
                <c:pt idx="2">
                  <c:v>2018-2019</c:v>
                </c:pt>
                <c:pt idx="3">
                  <c:v>2019-2020</c:v>
                </c:pt>
                <c:pt idx="4">
                  <c:v>2020-2021</c:v>
                </c:pt>
                <c:pt idx="5">
                  <c:v>2021-2022</c:v>
                </c:pt>
              </c:strCache>
            </c:strRef>
          </c:cat>
          <c:val>
            <c:numRef>
              <c:f>'Cohort Transfer'!$J$7:$J$12</c:f>
              <c:numCache>
                <c:formatCode>0.00%</c:formatCode>
                <c:ptCount val="6"/>
                <c:pt idx="0">
                  <c:v>3.864734299516908E-2</c:v>
                </c:pt>
                <c:pt idx="1">
                  <c:v>7.6576576576576572E-2</c:v>
                </c:pt>
                <c:pt idx="2">
                  <c:v>6.25E-2</c:v>
                </c:pt>
                <c:pt idx="3">
                  <c:v>9.1324200913242004E-2</c:v>
                </c:pt>
                <c:pt idx="4">
                  <c:v>9.03954802259887E-2</c:v>
                </c:pt>
                <c:pt idx="5">
                  <c:v>6.8493150684931503E-2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19-48DC-9ED5-CC4E1C061AD1}"/>
            </c:ext>
          </c:extLst>
        </c:ser>
        <c:ser>
          <c:idx val="3"/>
          <c:order val="3"/>
          <c:tx>
            <c:strRef>
              <c:f>'Cohort Transfer'!$N$5:$P$5</c:f>
              <c:strCache>
                <c:ptCount val="1"/>
                <c:pt idx="0">
                  <c:v>Pell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4.0919382651726052E-2"/>
                  <c:y val="-0.117955604173310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A7-49AD-A7FF-6A3CD5C203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'Cohort Transfer'!$D$7:$D$12</c:f>
              <c:strCache>
                <c:ptCount val="6"/>
                <c:pt idx="0">
                  <c:v>2016-2017</c:v>
                </c:pt>
                <c:pt idx="1">
                  <c:v>2017-2018</c:v>
                </c:pt>
                <c:pt idx="2">
                  <c:v>2018-2019</c:v>
                </c:pt>
                <c:pt idx="3">
                  <c:v>2019-2020</c:v>
                </c:pt>
                <c:pt idx="4">
                  <c:v>2020-2021</c:v>
                </c:pt>
                <c:pt idx="5">
                  <c:v>2021-2022</c:v>
                </c:pt>
              </c:strCache>
            </c:strRef>
          </c:cat>
          <c:val>
            <c:numRef>
              <c:f>'Cohort Transfer'!$P$7:$P$12</c:f>
              <c:numCache>
                <c:formatCode>0.00%</c:formatCode>
                <c:ptCount val="6"/>
                <c:pt idx="0">
                  <c:v>0.11513859275053305</c:v>
                </c:pt>
                <c:pt idx="1">
                  <c:v>0.11342592592592593</c:v>
                </c:pt>
                <c:pt idx="2">
                  <c:v>0.11838006230529595</c:v>
                </c:pt>
                <c:pt idx="3">
                  <c:v>0.10975609756097561</c:v>
                </c:pt>
                <c:pt idx="4">
                  <c:v>9.7122302158273388E-2</c:v>
                </c:pt>
                <c:pt idx="5">
                  <c:v>0.13709677419354838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19-48DC-9ED5-CC4E1C061AD1}"/>
            </c:ext>
          </c:extLst>
        </c:ser>
        <c:ser>
          <c:idx val="4"/>
          <c:order val="4"/>
          <c:tx>
            <c:strRef>
              <c:f>'Cohort Transfer'!$K$5:$M$5</c:f>
              <c:strCache>
                <c:ptCount val="1"/>
                <c:pt idx="0">
                  <c:v>Pacific Islander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'Cohort Transfer'!$D$7:$D$12</c:f>
              <c:strCache>
                <c:ptCount val="6"/>
                <c:pt idx="0">
                  <c:v>2016-2017</c:v>
                </c:pt>
                <c:pt idx="1">
                  <c:v>2017-2018</c:v>
                </c:pt>
                <c:pt idx="2">
                  <c:v>2018-2019</c:v>
                </c:pt>
                <c:pt idx="3">
                  <c:v>2019-2020</c:v>
                </c:pt>
                <c:pt idx="4">
                  <c:v>2020-2021</c:v>
                </c:pt>
                <c:pt idx="5">
                  <c:v>2021-2022</c:v>
                </c:pt>
              </c:strCache>
            </c:strRef>
          </c:cat>
          <c:val>
            <c:numRef>
              <c:f>'Cohort Transfer'!$M$7:$M$12</c:f>
              <c:numCache>
                <c:formatCode>0.00%</c:formatCode>
                <c:ptCount val="6"/>
                <c:pt idx="0" formatCode="0%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7F-4CC9-AA61-CD65EE2C5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9796992"/>
        <c:axId val="1496432848"/>
      </c:lineChart>
      <c:catAx>
        <c:axId val="1739796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Fall Cohort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6432848"/>
        <c:crosses val="autoZero"/>
        <c:auto val="1"/>
        <c:lblAlgn val="ctr"/>
        <c:lblOffset val="100"/>
        <c:noMultiLvlLbl val="0"/>
      </c:catAx>
      <c:valAx>
        <c:axId val="1496432848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979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Fall To Subsequent Fall Reenrollment Count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'Fall to Subsequent Fall Re'!$E$3:$H$3</c:f>
              <c:strCache>
                <c:ptCount val="1"/>
                <c:pt idx="0">
                  <c:v>Filipino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'Fall to Subsequent Fall Re'!$D$5:$D$11</c:f>
              <c:strCache>
                <c:ptCount val="7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  <c:pt idx="6">
                  <c:v>2021-2022</c:v>
                </c:pt>
              </c:strCache>
            </c:strRef>
          </c:cat>
          <c:val>
            <c:numRef>
              <c:f>'Fall to Subsequent Fall Re'!$G$5:$G$11</c:f>
              <c:numCache>
                <c:formatCode>General</c:formatCode>
                <c:ptCount val="7"/>
                <c:pt idx="0">
                  <c:v>460</c:v>
                </c:pt>
                <c:pt idx="1">
                  <c:v>446</c:v>
                </c:pt>
                <c:pt idx="2">
                  <c:v>450</c:v>
                </c:pt>
                <c:pt idx="3">
                  <c:v>433</c:v>
                </c:pt>
                <c:pt idx="4">
                  <c:v>414</c:v>
                </c:pt>
                <c:pt idx="5">
                  <c:v>397</c:v>
                </c:pt>
                <c:pt idx="6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CD-4BF9-8873-A88C0FD313F7}"/>
            </c:ext>
          </c:extLst>
        </c:ser>
        <c:ser>
          <c:idx val="1"/>
          <c:order val="1"/>
          <c:tx>
            <c:strRef>
              <c:f>'Fall to Subsequent Fall Re'!$I$3:$L$3</c:f>
              <c:strCache>
                <c:ptCount val="1"/>
                <c:pt idx="0">
                  <c:v>Native Hawaiian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'Fall to Subsequent Fall Re'!$D$5:$D$11</c:f>
              <c:strCache>
                <c:ptCount val="7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  <c:pt idx="6">
                  <c:v>2021-2022</c:v>
                </c:pt>
              </c:strCache>
            </c:strRef>
          </c:cat>
          <c:val>
            <c:numRef>
              <c:f>'Fall to Subsequent Fall Re'!$K$5:$K$11</c:f>
              <c:numCache>
                <c:formatCode>General</c:formatCode>
                <c:ptCount val="7"/>
                <c:pt idx="0">
                  <c:v>463</c:v>
                </c:pt>
                <c:pt idx="1">
                  <c:v>389</c:v>
                </c:pt>
                <c:pt idx="2">
                  <c:v>381</c:v>
                </c:pt>
                <c:pt idx="3">
                  <c:v>370</c:v>
                </c:pt>
                <c:pt idx="4">
                  <c:v>358</c:v>
                </c:pt>
                <c:pt idx="5">
                  <c:v>367</c:v>
                </c:pt>
                <c:pt idx="6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CD-4BF9-8873-A88C0FD313F7}"/>
            </c:ext>
          </c:extLst>
        </c:ser>
        <c:ser>
          <c:idx val="2"/>
          <c:order val="2"/>
          <c:tx>
            <c:strRef>
              <c:f>'Fall to Subsequent Fall Re'!$M$3:$P$3</c:f>
              <c:strCache>
                <c:ptCount val="1"/>
                <c:pt idx="0">
                  <c:v>Pacific Islander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'Fall to Subsequent Fall Re'!$D$5:$D$11</c:f>
              <c:strCache>
                <c:ptCount val="7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  <c:pt idx="6">
                  <c:v>2021-2022</c:v>
                </c:pt>
              </c:strCache>
            </c:strRef>
          </c:cat>
          <c:val>
            <c:numRef>
              <c:f>'Fall to Subsequent Fall Re'!$N$5:$N$11</c:f>
              <c:numCache>
                <c:formatCode>General</c:formatCode>
                <c:ptCount val="7"/>
                <c:pt idx="0">
                  <c:v>106</c:v>
                </c:pt>
                <c:pt idx="1">
                  <c:v>93</c:v>
                </c:pt>
                <c:pt idx="2">
                  <c:v>117</c:v>
                </c:pt>
                <c:pt idx="3">
                  <c:v>110</c:v>
                </c:pt>
                <c:pt idx="4">
                  <c:v>124</c:v>
                </c:pt>
                <c:pt idx="5">
                  <c:v>105</c:v>
                </c:pt>
                <c:pt idx="6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CD-4BF9-8873-A88C0FD313F7}"/>
            </c:ext>
          </c:extLst>
        </c:ser>
        <c:ser>
          <c:idx val="3"/>
          <c:order val="3"/>
          <c:tx>
            <c:strRef>
              <c:f>'Fall to Subsequent Fall Re'!$Q$3:$T$3</c:f>
              <c:strCache>
                <c:ptCount val="1"/>
                <c:pt idx="0">
                  <c:v>Pell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'Fall to Subsequent Fall Re'!$D$5:$D$11</c:f>
              <c:strCache>
                <c:ptCount val="7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  <c:pt idx="6">
                  <c:v>2021-2022</c:v>
                </c:pt>
              </c:strCache>
            </c:strRef>
          </c:cat>
          <c:val>
            <c:numRef>
              <c:f>'Fall to Subsequent Fall Re'!$S$5:$S$11</c:f>
              <c:numCache>
                <c:formatCode>General</c:formatCode>
                <c:ptCount val="7"/>
                <c:pt idx="0">
                  <c:v>787</c:v>
                </c:pt>
                <c:pt idx="1">
                  <c:v>643</c:v>
                </c:pt>
                <c:pt idx="2">
                  <c:v>640</c:v>
                </c:pt>
                <c:pt idx="3">
                  <c:v>571</c:v>
                </c:pt>
                <c:pt idx="4">
                  <c:v>525</c:v>
                </c:pt>
                <c:pt idx="5">
                  <c:v>492</c:v>
                </c:pt>
                <c:pt idx="6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CD-4BF9-8873-A88C0FD313F7}"/>
            </c:ext>
          </c:extLst>
        </c:ser>
        <c:ser>
          <c:idx val="4"/>
          <c:order val="4"/>
          <c:tx>
            <c:strRef>
              <c:f>'Fall to Subsequent Fall Re'!$U$3:$X$3</c:f>
              <c:strCache>
                <c:ptCount val="1"/>
                <c:pt idx="0">
                  <c:v>All Students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'Fall to Subsequent Fall Re'!$D$5:$D$11</c:f>
              <c:strCache>
                <c:ptCount val="7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  <c:pt idx="6">
                  <c:v>2021-2022</c:v>
                </c:pt>
              </c:strCache>
            </c:strRef>
          </c:cat>
          <c:val>
            <c:numRef>
              <c:f>'Fall to Subsequent Fall Re'!$W$5:$W$11</c:f>
              <c:numCache>
                <c:formatCode>General</c:formatCode>
                <c:ptCount val="7"/>
                <c:pt idx="0">
                  <c:v>3058</c:v>
                </c:pt>
                <c:pt idx="1">
                  <c:v>2795</c:v>
                </c:pt>
                <c:pt idx="2">
                  <c:v>2644</c:v>
                </c:pt>
                <c:pt idx="3">
                  <c:v>2529</c:v>
                </c:pt>
                <c:pt idx="4">
                  <c:v>2303</c:v>
                </c:pt>
                <c:pt idx="5">
                  <c:v>2160</c:v>
                </c:pt>
                <c:pt idx="6">
                  <c:v>1925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CD-4BF9-8873-A88C0FD31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718511"/>
        <c:axId val="748416367"/>
      </c:lineChart>
      <c:catAx>
        <c:axId val="8087185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Fall</a:t>
                </a:r>
                <a:r>
                  <a:rPr lang="en-US" baseline="0"/>
                  <a:t> Semester Cohort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416367"/>
        <c:crosses val="autoZero"/>
        <c:auto val="1"/>
        <c:lblAlgn val="ctr"/>
        <c:lblOffset val="100"/>
        <c:noMultiLvlLbl val="0"/>
      </c:catAx>
      <c:valAx>
        <c:axId val="74841636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Reenrollment 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718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Fall to</a:t>
            </a:r>
            <a:r>
              <a:rPr lang="en-US" baseline="0"/>
              <a:t> Subsequent Fall Reenrollment Percentage</a:t>
            </a:r>
          </a:p>
          <a:p>
            <a:pPr>
              <a:defRPr/>
            </a:pPr>
            <a:r>
              <a:rPr lang="en-US" baseline="0"/>
              <a:t> (Graduates and Transfers Removed)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'Fall to Subsequent Fall Re'!$E$3:$H$3</c:f>
              <c:strCache>
                <c:ptCount val="1"/>
                <c:pt idx="0">
                  <c:v>Filipino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'Fall to Subsequent Fall Re'!$D$5:$D$11</c:f>
              <c:strCache>
                <c:ptCount val="7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  <c:pt idx="6">
                  <c:v>2021-2022</c:v>
                </c:pt>
              </c:strCache>
            </c:strRef>
          </c:cat>
          <c:val>
            <c:numRef>
              <c:f>'Fall to Subsequent Fall Re'!$H$5:$H$11</c:f>
              <c:numCache>
                <c:formatCode>0.00%</c:formatCode>
                <c:ptCount val="7"/>
                <c:pt idx="0">
                  <c:v>0.625</c:v>
                </c:pt>
                <c:pt idx="1">
                  <c:v>0.64265129682997113</c:v>
                </c:pt>
                <c:pt idx="2">
                  <c:v>0.62326869806094187</c:v>
                </c:pt>
                <c:pt idx="3">
                  <c:v>0.63770250368188508</c:v>
                </c:pt>
                <c:pt idx="4">
                  <c:v>0.64385692068429234</c:v>
                </c:pt>
                <c:pt idx="5">
                  <c:v>0.58727810650887569</c:v>
                </c:pt>
                <c:pt idx="6">
                  <c:v>0.548885077186964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7C-4EC3-BF5B-F0F334BA8FBE}"/>
            </c:ext>
          </c:extLst>
        </c:ser>
        <c:ser>
          <c:idx val="1"/>
          <c:order val="1"/>
          <c:tx>
            <c:strRef>
              <c:f>'Fall to Subsequent Fall Re'!$I$3:$L$3</c:f>
              <c:strCache>
                <c:ptCount val="1"/>
                <c:pt idx="0">
                  <c:v>Native Hawaiian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'Fall to Subsequent Fall Re'!$D$5:$D$11</c:f>
              <c:strCache>
                <c:ptCount val="7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  <c:pt idx="6">
                  <c:v>2021-2022</c:v>
                </c:pt>
              </c:strCache>
            </c:strRef>
          </c:cat>
          <c:val>
            <c:numRef>
              <c:f>'Fall to Subsequent Fall Re'!$L$5:$L$11</c:f>
              <c:numCache>
                <c:formatCode>0.00%</c:formatCode>
                <c:ptCount val="7"/>
                <c:pt idx="0">
                  <c:v>0.52673492605233219</c:v>
                </c:pt>
                <c:pt idx="1">
                  <c:v>0.52214765100671146</c:v>
                </c:pt>
                <c:pt idx="2">
                  <c:v>0.50664893617021278</c:v>
                </c:pt>
                <c:pt idx="3">
                  <c:v>0.46250000000000002</c:v>
                </c:pt>
                <c:pt idx="4">
                  <c:v>0.528023598820059</c:v>
                </c:pt>
                <c:pt idx="5">
                  <c:v>0.4784876140808344</c:v>
                </c:pt>
                <c:pt idx="6">
                  <c:v>0.46283309957924262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7C-4EC3-BF5B-F0F334BA8FBE}"/>
            </c:ext>
          </c:extLst>
        </c:ser>
        <c:ser>
          <c:idx val="2"/>
          <c:order val="2"/>
          <c:tx>
            <c:strRef>
              <c:f>'Fall to Subsequent Fall Re'!$M$3:$P$3</c:f>
              <c:strCache>
                <c:ptCount val="1"/>
                <c:pt idx="0">
                  <c:v>Pacific Islander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'Fall to Subsequent Fall Re'!$D$5:$D$11</c:f>
              <c:strCache>
                <c:ptCount val="7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  <c:pt idx="6">
                  <c:v>2021-2022</c:v>
                </c:pt>
              </c:strCache>
            </c:strRef>
          </c:cat>
          <c:val>
            <c:numRef>
              <c:f>'Fall to Subsequent Fall Re'!$P$5:$P$11</c:f>
              <c:numCache>
                <c:formatCode>0.0%</c:formatCode>
                <c:ptCount val="7"/>
                <c:pt idx="0">
                  <c:v>0.41509433962264153</c:v>
                </c:pt>
                <c:pt idx="1">
                  <c:v>0.59139784946236562</c:v>
                </c:pt>
                <c:pt idx="2">
                  <c:v>0.47008547008547008</c:v>
                </c:pt>
                <c:pt idx="3">
                  <c:v>0.49090909090909091</c:v>
                </c:pt>
                <c:pt idx="4">
                  <c:v>0.45967741935483869</c:v>
                </c:pt>
                <c:pt idx="5">
                  <c:v>0.44761904761904764</c:v>
                </c:pt>
                <c:pt idx="6">
                  <c:v>0.48214285714285715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7C-4EC3-BF5B-F0F334BA8FBE}"/>
            </c:ext>
          </c:extLst>
        </c:ser>
        <c:ser>
          <c:idx val="3"/>
          <c:order val="3"/>
          <c:tx>
            <c:strRef>
              <c:f>'Fall to Subsequent Fall Re'!$Q$3:$T$3</c:f>
              <c:strCache>
                <c:ptCount val="1"/>
                <c:pt idx="0">
                  <c:v>Pell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'Fall to Subsequent Fall Re'!$D$5:$D$11</c:f>
              <c:strCache>
                <c:ptCount val="7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  <c:pt idx="6">
                  <c:v>2021-2022</c:v>
                </c:pt>
              </c:strCache>
            </c:strRef>
          </c:cat>
          <c:val>
            <c:numRef>
              <c:f>'Fall to Subsequent Fall Re'!$T$5:$T$11</c:f>
              <c:numCache>
                <c:formatCode>0.00%</c:formatCode>
                <c:ptCount val="7"/>
                <c:pt idx="0">
                  <c:v>0.63518966908797414</c:v>
                </c:pt>
                <c:pt idx="1">
                  <c:v>0.63916500994035785</c:v>
                </c:pt>
                <c:pt idx="2">
                  <c:v>0.62806673209028463</c:v>
                </c:pt>
                <c:pt idx="3">
                  <c:v>0.60232067510548526</c:v>
                </c:pt>
                <c:pt idx="4">
                  <c:v>0.67307692307692313</c:v>
                </c:pt>
                <c:pt idx="5">
                  <c:v>0.63076923076923075</c:v>
                </c:pt>
                <c:pt idx="6">
                  <c:v>0.57045143638850893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7C-4EC3-BF5B-F0F334BA8FBE}"/>
            </c:ext>
          </c:extLst>
        </c:ser>
        <c:ser>
          <c:idx val="4"/>
          <c:order val="4"/>
          <c:tx>
            <c:strRef>
              <c:f>'Fall to Subsequent Fall Re'!$U$3:$X$3</c:f>
              <c:strCache>
                <c:ptCount val="1"/>
                <c:pt idx="0">
                  <c:v>All Students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'Fall to Subsequent Fall Re'!$D$5:$D$11</c:f>
              <c:strCache>
                <c:ptCount val="7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  <c:pt idx="6">
                  <c:v>2021-2022</c:v>
                </c:pt>
              </c:strCache>
            </c:strRef>
          </c:cat>
          <c:val>
            <c:numRef>
              <c:f>'Fall to Subsequent Fall Re'!$X$5:$X$11</c:f>
              <c:numCache>
                <c:formatCode>0.0%</c:formatCode>
                <c:ptCount val="7"/>
                <c:pt idx="0">
                  <c:v>0.58325386229258058</c:v>
                </c:pt>
                <c:pt idx="1">
                  <c:v>0.59645753307725136</c:v>
                </c:pt>
                <c:pt idx="2">
                  <c:v>0.57328707718993932</c:v>
                </c:pt>
                <c:pt idx="3">
                  <c:v>0.55901856763925728</c:v>
                </c:pt>
                <c:pt idx="4">
                  <c:v>0.55641459289683504</c:v>
                </c:pt>
                <c:pt idx="5">
                  <c:v>0.53267570900123307</c:v>
                </c:pt>
                <c:pt idx="6">
                  <c:v>0.51169590643274854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7C-4EC3-BF5B-F0F334BA8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217007"/>
        <c:axId val="796026943"/>
      </c:lineChart>
      <c:catAx>
        <c:axId val="10532170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Fall Semester Cohort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6026943"/>
        <c:crosses val="autoZero"/>
        <c:auto val="1"/>
        <c:lblAlgn val="ctr"/>
        <c:lblOffset val="100"/>
        <c:noMultiLvlLbl val="0"/>
      </c:catAx>
      <c:valAx>
        <c:axId val="796026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Reenrollment Percentage (Graduates and Transfers</a:t>
                </a:r>
                <a:r>
                  <a:rPr lang="en-US" baseline="0"/>
                  <a:t> Removed)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217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Fall To Subsequent Spring Reenrollment Count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57009097576795E-2"/>
          <c:y val="0.10861007462218537"/>
          <c:w val="0.76122503611443182"/>
          <c:h val="0.74036391423039505"/>
        </c:manualLayout>
      </c:layout>
      <c:lineChart>
        <c:grouping val="standard"/>
        <c:varyColors val="0"/>
        <c:ser>
          <c:idx val="0"/>
          <c:order val="0"/>
          <c:tx>
            <c:strRef>
              <c:f>'Fall To Spring Reenrollments'!$T$3:$W$3</c:f>
              <c:strCache>
                <c:ptCount val="1"/>
                <c:pt idx="0">
                  <c:v>All Students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'Fall To Spring Reenrollments'!$C$5:$C$11</c:f>
              <c:strCache>
                <c:ptCount val="7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  <c:pt idx="6">
                  <c:v>2021-2022</c:v>
                </c:pt>
              </c:strCache>
            </c:strRef>
          </c:cat>
          <c:val>
            <c:numRef>
              <c:f>'Fall To Spring Reenrollments'!$V$5:$V$11</c:f>
              <c:numCache>
                <c:formatCode>General</c:formatCode>
                <c:ptCount val="7"/>
                <c:pt idx="0">
                  <c:v>4546</c:v>
                </c:pt>
                <c:pt idx="1">
                  <c:v>4187</c:v>
                </c:pt>
                <c:pt idx="2">
                  <c:v>4028</c:v>
                </c:pt>
                <c:pt idx="3">
                  <c:v>3709</c:v>
                </c:pt>
                <c:pt idx="4">
                  <c:v>3549</c:v>
                </c:pt>
                <c:pt idx="5">
                  <c:v>3373</c:v>
                </c:pt>
                <c:pt idx="6">
                  <c:v>2975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23-4CD8-80B3-C87AD62C607C}"/>
            </c:ext>
          </c:extLst>
        </c:ser>
        <c:ser>
          <c:idx val="1"/>
          <c:order val="1"/>
          <c:tx>
            <c:strRef>
              <c:f>'Fall To Spring Reenrollments'!$D$3:$G$3</c:f>
              <c:strCache>
                <c:ptCount val="1"/>
                <c:pt idx="0">
                  <c:v>Filipino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'Fall To Spring Reenrollments'!$C$5:$C$11</c:f>
              <c:strCache>
                <c:ptCount val="7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  <c:pt idx="6">
                  <c:v>2021-2022</c:v>
                </c:pt>
              </c:strCache>
            </c:strRef>
          </c:cat>
          <c:val>
            <c:numRef>
              <c:f>'Fall To Spring Reenrollments'!$F$5:$F$11</c:f>
              <c:numCache>
                <c:formatCode>General</c:formatCode>
                <c:ptCount val="7"/>
                <c:pt idx="0">
                  <c:v>652</c:v>
                </c:pt>
                <c:pt idx="1">
                  <c:v>639</c:v>
                </c:pt>
                <c:pt idx="2">
                  <c:v>648</c:v>
                </c:pt>
                <c:pt idx="3">
                  <c:v>576</c:v>
                </c:pt>
                <c:pt idx="4">
                  <c:v>568</c:v>
                </c:pt>
                <c:pt idx="5">
                  <c:v>560</c:v>
                </c:pt>
                <c:pt idx="6">
                  <c:v>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23-4CD8-80B3-C87AD62C607C}"/>
            </c:ext>
          </c:extLst>
        </c:ser>
        <c:ser>
          <c:idx val="2"/>
          <c:order val="2"/>
          <c:tx>
            <c:strRef>
              <c:f>'Fall To Spring Reenrollments'!$H$3:$K$3</c:f>
              <c:strCache>
                <c:ptCount val="1"/>
                <c:pt idx="0">
                  <c:v>Native Hawaiian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'Fall To Spring Reenrollments'!$C$5:$C$11</c:f>
              <c:strCache>
                <c:ptCount val="7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  <c:pt idx="6">
                  <c:v>2021-2022</c:v>
                </c:pt>
              </c:strCache>
            </c:strRef>
          </c:cat>
          <c:val>
            <c:numRef>
              <c:f>'Fall To Spring Reenrollments'!$J$5:$J$11</c:f>
              <c:numCache>
                <c:formatCode>General</c:formatCode>
                <c:ptCount val="7"/>
                <c:pt idx="0">
                  <c:v>699</c:v>
                </c:pt>
                <c:pt idx="1">
                  <c:v>616</c:v>
                </c:pt>
                <c:pt idx="2">
                  <c:v>612</c:v>
                </c:pt>
                <c:pt idx="3">
                  <c:v>581</c:v>
                </c:pt>
                <c:pt idx="4">
                  <c:v>553</c:v>
                </c:pt>
                <c:pt idx="5">
                  <c:v>592</c:v>
                </c:pt>
                <c:pt idx="6">
                  <c:v>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23-4CD8-80B3-C87AD62C607C}"/>
            </c:ext>
          </c:extLst>
        </c:ser>
        <c:ser>
          <c:idx val="3"/>
          <c:order val="3"/>
          <c:tx>
            <c:strRef>
              <c:f>'Fall To Spring Reenrollments'!$L$3:$O$3</c:f>
              <c:strCache>
                <c:ptCount val="1"/>
                <c:pt idx="0">
                  <c:v>Pacific Islander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'Fall To Spring Reenrollments'!$C$5:$C$11</c:f>
              <c:strCache>
                <c:ptCount val="7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  <c:pt idx="6">
                  <c:v>2021-2022</c:v>
                </c:pt>
              </c:strCache>
            </c:strRef>
          </c:cat>
          <c:val>
            <c:numRef>
              <c:f>'Fall To Spring Reenrollments'!$M$5:$M$11</c:f>
              <c:numCache>
                <c:formatCode>General</c:formatCode>
                <c:ptCount val="7"/>
                <c:pt idx="0">
                  <c:v>122</c:v>
                </c:pt>
                <c:pt idx="1">
                  <c:v>105</c:v>
                </c:pt>
                <c:pt idx="2">
                  <c:v>134</c:v>
                </c:pt>
                <c:pt idx="3">
                  <c:v>119</c:v>
                </c:pt>
                <c:pt idx="4">
                  <c:v>132</c:v>
                </c:pt>
                <c:pt idx="5">
                  <c:v>122</c:v>
                </c:pt>
                <c:pt idx="6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23-4CD8-80B3-C87AD62C607C}"/>
            </c:ext>
          </c:extLst>
        </c:ser>
        <c:ser>
          <c:idx val="4"/>
          <c:order val="4"/>
          <c:tx>
            <c:strRef>
              <c:f>'Fall To Spring Reenrollments'!$P$3:$S$3</c:f>
              <c:strCache>
                <c:ptCount val="1"/>
                <c:pt idx="0">
                  <c:v>Pell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'Fall To Spring Reenrollments'!$C$5:$C$11</c:f>
              <c:strCache>
                <c:ptCount val="7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  <c:pt idx="6">
                  <c:v>2021-2022</c:v>
                </c:pt>
              </c:strCache>
            </c:strRef>
          </c:cat>
          <c:val>
            <c:numRef>
              <c:f>'Fall To Spring Reenrollments'!$R$5:$R$11</c:f>
              <c:numCache>
                <c:formatCode>General</c:formatCode>
                <c:ptCount val="7"/>
                <c:pt idx="0">
                  <c:v>1153</c:v>
                </c:pt>
                <c:pt idx="1">
                  <c:v>957</c:v>
                </c:pt>
                <c:pt idx="2">
                  <c:v>913</c:v>
                </c:pt>
                <c:pt idx="3">
                  <c:v>825</c:v>
                </c:pt>
                <c:pt idx="4">
                  <c:v>795</c:v>
                </c:pt>
                <c:pt idx="5">
                  <c:v>750</c:v>
                </c:pt>
                <c:pt idx="6">
                  <c:v>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23-4CD8-80B3-C87AD62C6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494176"/>
        <c:axId val="1906100800"/>
      </c:lineChart>
      <c:catAx>
        <c:axId val="2083494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Fall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6100800"/>
        <c:crosses val="autoZero"/>
        <c:auto val="1"/>
        <c:lblAlgn val="ctr"/>
        <c:lblOffset val="100"/>
        <c:noMultiLvlLbl val="0"/>
      </c:catAx>
      <c:valAx>
        <c:axId val="19061008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 of Reenrollments from Fall To</a:t>
                </a:r>
                <a:r>
                  <a:rPr lang="en-US" baseline="0"/>
                  <a:t> Subsequent Spring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349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Fall to</a:t>
            </a:r>
            <a:r>
              <a:rPr lang="en-US" baseline="0"/>
              <a:t> Subsequent Spring Reenrollment % (Graduates and/or Transfers Removed)</a:t>
            </a:r>
          </a:p>
          <a:p>
            <a:pPr algn="ctr">
              <a:defRPr/>
            </a:pP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'Fall To Spring Reenrollments'!$T$3:$W$3</c:f>
              <c:strCache>
                <c:ptCount val="1"/>
                <c:pt idx="0">
                  <c:v>All Students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'Fall To Spring Reenrollments'!$C$5:$C$11</c:f>
              <c:strCache>
                <c:ptCount val="7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  <c:pt idx="6">
                  <c:v>2021-2022</c:v>
                </c:pt>
              </c:strCache>
            </c:strRef>
          </c:cat>
          <c:val>
            <c:numRef>
              <c:f>'Fall To Spring Reenrollments'!$W$5:$W$11</c:f>
              <c:numCache>
                <c:formatCode>0.00%</c:formatCode>
                <c:ptCount val="7"/>
                <c:pt idx="0">
                  <c:v>0.75202646815550045</c:v>
                </c:pt>
                <c:pt idx="1">
                  <c:v>0.76071947674418605</c:v>
                </c:pt>
                <c:pt idx="2">
                  <c:v>0.74675565443084913</c:v>
                </c:pt>
                <c:pt idx="3">
                  <c:v>0.70741941636467676</c:v>
                </c:pt>
                <c:pt idx="4">
                  <c:v>0.73220548793067874</c:v>
                </c:pt>
                <c:pt idx="5">
                  <c:v>0.71446727388265197</c:v>
                </c:pt>
                <c:pt idx="6">
                  <c:v>0.68564185296151192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2F-4616-B057-FF912F9CA442}"/>
            </c:ext>
          </c:extLst>
        </c:ser>
        <c:ser>
          <c:idx val="1"/>
          <c:order val="1"/>
          <c:tx>
            <c:strRef>
              <c:f>'Fall To Spring Reenrollments'!$D$3:$G$3</c:f>
              <c:strCache>
                <c:ptCount val="1"/>
                <c:pt idx="0">
                  <c:v>Filipino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'Fall To Spring Reenrollments'!$C$5:$C$11</c:f>
              <c:strCache>
                <c:ptCount val="7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  <c:pt idx="6">
                  <c:v>2021-2022</c:v>
                </c:pt>
              </c:strCache>
            </c:strRef>
          </c:cat>
          <c:val>
            <c:numRef>
              <c:f>'Fall To Spring Reenrollments'!$G$5:$G$11</c:f>
              <c:numCache>
                <c:formatCode>0.0%</c:formatCode>
                <c:ptCount val="7"/>
                <c:pt idx="0">
                  <c:v>0.77897252090800473</c:v>
                </c:pt>
                <c:pt idx="1">
                  <c:v>0.80886075949367087</c:v>
                </c:pt>
                <c:pt idx="2">
                  <c:v>0.77884615384615385</c:v>
                </c:pt>
                <c:pt idx="3">
                  <c:v>0.73375796178343944</c:v>
                </c:pt>
                <c:pt idx="4">
                  <c:v>0.76037483266398931</c:v>
                </c:pt>
                <c:pt idx="5">
                  <c:v>0.72164948453608246</c:v>
                </c:pt>
                <c:pt idx="6" formatCode="0.00%">
                  <c:v>0.69115442278860573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2F-4616-B057-FF912F9CA442}"/>
            </c:ext>
          </c:extLst>
        </c:ser>
        <c:ser>
          <c:idx val="2"/>
          <c:order val="2"/>
          <c:tx>
            <c:strRef>
              <c:f>'Fall To Spring Reenrollments'!$H$3:$K$3</c:f>
              <c:strCache>
                <c:ptCount val="1"/>
                <c:pt idx="0">
                  <c:v>Native Hawaiian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'Fall To Spring Reenrollments'!$C$5:$C$11</c:f>
              <c:strCache>
                <c:ptCount val="7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  <c:pt idx="6">
                  <c:v>2021-2022</c:v>
                </c:pt>
              </c:strCache>
            </c:strRef>
          </c:cat>
          <c:val>
            <c:numRef>
              <c:f>'Fall To Spring Reenrollments'!$K$5:$K$11</c:f>
              <c:numCache>
                <c:formatCode>0.00%</c:formatCode>
                <c:ptCount val="7"/>
                <c:pt idx="0">
                  <c:v>0.71036585365853655</c:v>
                </c:pt>
                <c:pt idx="1">
                  <c:v>0.71627906976744182</c:v>
                </c:pt>
                <c:pt idx="2">
                  <c:v>0.70183486238532111</c:v>
                </c:pt>
                <c:pt idx="3">
                  <c:v>0.62675296655879176</c:v>
                </c:pt>
                <c:pt idx="4">
                  <c:v>0.71354838709677415</c:v>
                </c:pt>
                <c:pt idx="5">
                  <c:v>0.67967853042479909</c:v>
                </c:pt>
                <c:pt idx="6">
                  <c:v>0.65954773869346739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2F-4616-B057-FF912F9CA442}"/>
            </c:ext>
          </c:extLst>
        </c:ser>
        <c:ser>
          <c:idx val="3"/>
          <c:order val="3"/>
          <c:tx>
            <c:strRef>
              <c:f>'Fall To Spring Reenrollments'!$L$3:$O$3</c:f>
              <c:strCache>
                <c:ptCount val="1"/>
                <c:pt idx="0">
                  <c:v>Pacific Islander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'Fall To Spring Reenrollments'!$C$5:$C$11</c:f>
              <c:strCache>
                <c:ptCount val="7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  <c:pt idx="6">
                  <c:v>2021-2022</c:v>
                </c:pt>
              </c:strCache>
            </c:strRef>
          </c:cat>
          <c:val>
            <c:numRef>
              <c:f>'Fall To Spring Reenrollments'!$O$5:$O$11</c:f>
              <c:numCache>
                <c:formatCode>0.00%</c:formatCode>
                <c:ptCount val="7"/>
                <c:pt idx="0">
                  <c:v>0.70491803278688525</c:v>
                </c:pt>
                <c:pt idx="1">
                  <c:v>0.75238095238095237</c:v>
                </c:pt>
                <c:pt idx="2">
                  <c:v>0.74626865671641796</c:v>
                </c:pt>
                <c:pt idx="3">
                  <c:v>0.66386554621848737</c:v>
                </c:pt>
                <c:pt idx="4">
                  <c:v>0.64393939393939392</c:v>
                </c:pt>
                <c:pt idx="5">
                  <c:v>0.69672131147540983</c:v>
                </c:pt>
                <c:pt idx="6">
                  <c:v>0.6179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2F-4616-B057-FF912F9CA442}"/>
            </c:ext>
          </c:extLst>
        </c:ser>
        <c:ser>
          <c:idx val="4"/>
          <c:order val="4"/>
          <c:tx>
            <c:strRef>
              <c:f>'Fall To Spring Reenrollments'!$P$3:$S$3</c:f>
              <c:strCache>
                <c:ptCount val="1"/>
                <c:pt idx="0">
                  <c:v>Pell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'Fall To Spring Reenrollments'!$C$5:$C$11</c:f>
              <c:strCache>
                <c:ptCount val="7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  <c:pt idx="6">
                  <c:v>2021-2022</c:v>
                </c:pt>
              </c:strCache>
            </c:strRef>
          </c:cat>
          <c:val>
            <c:numRef>
              <c:f>'Fall To Spring Reenrollments'!$S$5:$S$11</c:f>
              <c:numCache>
                <c:formatCode>0.00%</c:formatCode>
                <c:ptCount val="7"/>
                <c:pt idx="0">
                  <c:v>0.87018867924528298</c:v>
                </c:pt>
                <c:pt idx="1">
                  <c:v>0.86138613861386137</c:v>
                </c:pt>
                <c:pt idx="2">
                  <c:v>0.85088536812674742</c:v>
                </c:pt>
                <c:pt idx="3">
                  <c:v>0.81683168316831678</c:v>
                </c:pt>
                <c:pt idx="4">
                  <c:v>0.86601307189542487</c:v>
                </c:pt>
                <c:pt idx="5">
                  <c:v>0.82781456953642385</c:v>
                </c:pt>
                <c:pt idx="6">
                  <c:v>0.75501113585746105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2F-4616-B057-FF912F9CA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11440"/>
        <c:axId val="41468704"/>
      </c:lineChart>
      <c:catAx>
        <c:axId val="61911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Fall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68704"/>
        <c:crosses val="autoZero"/>
        <c:auto val="1"/>
        <c:lblAlgn val="ctr"/>
        <c:lblOffset val="100"/>
        <c:noMultiLvlLbl val="0"/>
      </c:catAx>
      <c:valAx>
        <c:axId val="414687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Reenrolled (Graduates</a:t>
                </a:r>
                <a:r>
                  <a:rPr lang="en-US" baseline="0"/>
                  <a:t> and/or Transfers Removed)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563496</xdr:colOff>
      <xdr:row>13</xdr:row>
      <xdr:rowOff>113660</xdr:rowOff>
    </xdr:from>
    <xdr:to>
      <xdr:col>6</xdr:col>
      <xdr:colOff>64033</xdr:colOff>
      <xdr:row>31</xdr:row>
      <xdr:rowOff>17609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833F31-21BA-47E2-A234-C551CB1CDE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338135</xdr:colOff>
      <xdr:row>12</xdr:row>
      <xdr:rowOff>0</xdr:rowOff>
    </xdr:from>
    <xdr:to>
      <xdr:col>17</xdr:col>
      <xdr:colOff>371474</xdr:colOff>
      <xdr:row>34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185736</xdr:rowOff>
    </xdr:from>
    <xdr:to>
      <xdr:col>8</xdr:col>
      <xdr:colOff>442913</xdr:colOff>
      <xdr:row>30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0BD9B5-2BD1-4324-BE14-DC1A084C36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13</xdr:row>
      <xdr:rowOff>147636</xdr:rowOff>
    </xdr:from>
    <xdr:to>
      <xdr:col>12</xdr:col>
      <xdr:colOff>161926</xdr:colOff>
      <xdr:row>34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85DB7F-284D-4BF3-84CB-08FC1BEB01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309561</xdr:colOff>
      <xdr:row>12</xdr:row>
      <xdr:rowOff>185736</xdr:rowOff>
    </xdr:from>
    <xdr:to>
      <xdr:col>22</xdr:col>
      <xdr:colOff>485774</xdr:colOff>
      <xdr:row>33</xdr:row>
      <xdr:rowOff>114299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33E2B2-AAE0-47F3-9B7C-E5A9909D06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176211</xdr:rowOff>
    </xdr:from>
    <xdr:to>
      <xdr:col>14</xdr:col>
      <xdr:colOff>19050</xdr:colOff>
      <xdr:row>32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FFEBC8-97F6-4627-B371-4077C1ED51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33337</xdr:colOff>
      <xdr:row>14</xdr:row>
      <xdr:rowOff>23811</xdr:rowOff>
    </xdr:from>
    <xdr:to>
      <xdr:col>26</xdr:col>
      <xdr:colOff>257175</xdr:colOff>
      <xdr:row>32</xdr:row>
      <xdr:rowOff>28574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49E78A0-1CB8-4AC9-B3C4-31F03EC422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14</xdr:row>
      <xdr:rowOff>47625</xdr:rowOff>
    </xdr:from>
    <xdr:to>
      <xdr:col>14</xdr:col>
      <xdr:colOff>71439</xdr:colOff>
      <xdr:row>35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79F6AA-4EA0-4B45-B1D4-CA322E8AC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500060</xdr:colOff>
      <xdr:row>12</xdr:row>
      <xdr:rowOff>161924</xdr:rowOff>
    </xdr:from>
    <xdr:to>
      <xdr:col>26</xdr:col>
      <xdr:colOff>123824</xdr:colOff>
      <xdr:row>37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C28D74B-4EF3-4C33-A346-C70FABE9B8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16</xdr:row>
      <xdr:rowOff>114300</xdr:rowOff>
    </xdr:from>
    <xdr:to>
      <xdr:col>9</xdr:col>
      <xdr:colOff>361949</xdr:colOff>
      <xdr:row>35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EDFE24-9A34-418C-A5FF-01F5A1CAF5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452436</xdr:colOff>
      <xdr:row>16</xdr:row>
      <xdr:rowOff>180975</xdr:rowOff>
    </xdr:from>
    <xdr:to>
      <xdr:col>20</xdr:col>
      <xdr:colOff>228599</xdr:colOff>
      <xdr:row>37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6FCD2C2-BC40-44EA-BD81-8F2270301D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128586</xdr:colOff>
      <xdr:row>39</xdr:row>
      <xdr:rowOff>157161</xdr:rowOff>
    </xdr:from>
    <xdr:to>
      <xdr:col>9</xdr:col>
      <xdr:colOff>314324</xdr:colOff>
      <xdr:row>58</xdr:row>
      <xdr:rowOff>142874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EEB3F4A-9CFB-44EB-BC48-4E3BB9BF7F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233362</xdr:colOff>
      <xdr:row>39</xdr:row>
      <xdr:rowOff>138111</xdr:rowOff>
    </xdr:from>
    <xdr:to>
      <xdr:col>22</xdr:col>
      <xdr:colOff>95250</xdr:colOff>
      <xdr:row>59</xdr:row>
      <xdr:rowOff>104774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09826D0-69E6-4F88-80A2-483BE783B7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366712</xdr:colOff>
      <xdr:row>13</xdr:row>
      <xdr:rowOff>57149</xdr:rowOff>
    </xdr:from>
    <xdr:to>
      <xdr:col>11</xdr:col>
      <xdr:colOff>638175</xdr:colOff>
      <xdr:row>34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1E7318-FDF1-4DE8-A830-700C3B2480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490537</xdr:colOff>
      <xdr:row>12</xdr:row>
      <xdr:rowOff>100011</xdr:rowOff>
    </xdr:from>
    <xdr:to>
      <xdr:col>22</xdr:col>
      <xdr:colOff>228600</xdr:colOff>
      <xdr:row>33</xdr:row>
      <xdr:rowOff>142874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BD1DD9-3020-4CCD-8C6C-CD496E0C90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23811</xdr:colOff>
      <xdr:row>35</xdr:row>
      <xdr:rowOff>166687</xdr:rowOff>
    </xdr:from>
    <xdr:to>
      <xdr:col>11</xdr:col>
      <xdr:colOff>666749</xdr:colOff>
      <xdr:row>54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B2708D3-2DC8-45A7-8DCA-C701E45C19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14287</xdr:colOff>
      <xdr:row>36</xdr:row>
      <xdr:rowOff>14286</xdr:rowOff>
    </xdr:from>
    <xdr:to>
      <xdr:col>22</xdr:col>
      <xdr:colOff>495300</xdr:colOff>
      <xdr:row>54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E5F13AA-0EB8-48F4-B7CA-92F3F6145C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F9" totalsRowShown="0" dataDxfId="6">
  <autoFilter ref="A2:F9" xr:uid="{00000000-0009-0000-0100-000003000000}"/>
  <tableColumns count="6">
    <tableColumn id="1" xr3:uid="{00000000-0010-0000-0000-000001000000}" name="Fiscal Year" dataDxfId="5"/>
    <tableColumn id="2" xr3:uid="{00000000-0010-0000-0000-000002000000}" name="Filipino" dataDxfId="4"/>
    <tableColumn id="3" xr3:uid="{00000000-0010-0000-0000-000003000000}" name="Native Hawaiian" dataDxfId="3"/>
    <tableColumn id="4" xr3:uid="{00000000-0010-0000-0000-000004000000}" name="Pacific Islander" dataDxfId="2"/>
    <tableColumn id="5" xr3:uid="{00000000-0010-0000-0000-000005000000}" name="Pell" dataDxfId="1"/>
    <tableColumn id="6" xr3:uid="{00000000-0010-0000-0000-000006000000}" name="All Student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zoomScale="119" zoomScaleNormal="130" workbookViewId="0">
      <selection activeCell="F13" sqref="F13"/>
    </sheetView>
  </sheetViews>
  <sheetFormatPr defaultColWidth="8.85546875" defaultRowHeight="15" x14ac:dyDescent="0.25"/>
  <cols>
    <col min="1" max="1" width="16.42578125" customWidth="1"/>
    <col min="2" max="2" width="14.42578125" customWidth="1"/>
    <col min="3" max="3" width="16.42578125" customWidth="1"/>
    <col min="4" max="4" width="15.28515625" customWidth="1"/>
    <col min="5" max="5" width="14.42578125" customWidth="1"/>
    <col min="6" max="6" width="12.42578125" customWidth="1"/>
  </cols>
  <sheetData>
    <row r="1" spans="1:6" x14ac:dyDescent="0.25">
      <c r="A1" s="45" t="s">
        <v>9</v>
      </c>
      <c r="B1" s="45"/>
      <c r="C1" s="45"/>
      <c r="D1" s="45"/>
      <c r="E1" s="45"/>
      <c r="F1" s="45"/>
    </row>
    <row r="2" spans="1:6" x14ac:dyDescent="0.25">
      <c r="A2" t="s">
        <v>0</v>
      </c>
      <c r="B2" t="s">
        <v>5</v>
      </c>
      <c r="C2" t="s">
        <v>8</v>
      </c>
      <c r="D2" t="s">
        <v>6</v>
      </c>
      <c r="E2" t="s">
        <v>7</v>
      </c>
      <c r="F2" t="s">
        <v>23</v>
      </c>
    </row>
    <row r="3" spans="1:6" x14ac:dyDescent="0.25">
      <c r="A3" s="33" t="s">
        <v>1</v>
      </c>
      <c r="B3" s="33">
        <v>191</v>
      </c>
      <c r="C3" s="33">
        <v>191</v>
      </c>
      <c r="D3" s="33">
        <v>19</v>
      </c>
      <c r="E3" s="33">
        <v>529</v>
      </c>
      <c r="F3" s="33">
        <v>1383</v>
      </c>
    </row>
    <row r="4" spans="1:6" x14ac:dyDescent="0.25">
      <c r="A4" s="33" t="s">
        <v>2</v>
      </c>
      <c r="B4" s="33">
        <v>174</v>
      </c>
      <c r="C4" s="33">
        <v>186</v>
      </c>
      <c r="D4" s="33">
        <v>10</v>
      </c>
      <c r="E4" s="33">
        <v>489</v>
      </c>
      <c r="F4" s="33">
        <v>1356</v>
      </c>
    </row>
    <row r="5" spans="1:6" x14ac:dyDescent="0.25">
      <c r="A5" s="33" t="s">
        <v>3</v>
      </c>
      <c r="B5" s="33">
        <v>204</v>
      </c>
      <c r="C5" s="33">
        <v>163</v>
      </c>
      <c r="D5" s="33">
        <v>16</v>
      </c>
      <c r="E5" s="33">
        <v>453</v>
      </c>
      <c r="F5" s="33">
        <v>1276</v>
      </c>
    </row>
    <row r="6" spans="1:6" x14ac:dyDescent="0.25">
      <c r="A6" s="33" t="s">
        <v>4</v>
      </c>
      <c r="B6" s="33">
        <v>185</v>
      </c>
      <c r="C6" s="33">
        <v>172</v>
      </c>
      <c r="D6" s="33">
        <v>22</v>
      </c>
      <c r="E6" s="33">
        <v>426</v>
      </c>
      <c r="F6" s="33">
        <v>1212</v>
      </c>
    </row>
    <row r="7" spans="1:6" x14ac:dyDescent="0.25">
      <c r="A7" s="33" t="s">
        <v>37</v>
      </c>
      <c r="B7" s="33">
        <v>144</v>
      </c>
      <c r="C7" s="33">
        <v>146</v>
      </c>
      <c r="D7" s="33">
        <v>12</v>
      </c>
      <c r="E7" s="33">
        <v>382</v>
      </c>
      <c r="F7" s="33">
        <v>1100</v>
      </c>
    </row>
    <row r="8" spans="1:6" x14ac:dyDescent="0.25">
      <c r="A8" s="33" t="s">
        <v>38</v>
      </c>
      <c r="B8" s="33">
        <v>188</v>
      </c>
      <c r="C8" s="33">
        <v>160</v>
      </c>
      <c r="D8" s="33">
        <v>18</v>
      </c>
      <c r="E8" s="33">
        <v>398</v>
      </c>
      <c r="F8" s="33">
        <v>1084</v>
      </c>
    </row>
    <row r="9" spans="1:6" x14ac:dyDescent="0.25">
      <c r="A9" s="38" t="s">
        <v>42</v>
      </c>
      <c r="B9" s="38">
        <v>159</v>
      </c>
      <c r="C9" s="38">
        <v>148</v>
      </c>
      <c r="D9" s="38">
        <v>16</v>
      </c>
      <c r="E9" s="38">
        <v>333</v>
      </c>
      <c r="F9" s="38">
        <v>943</v>
      </c>
    </row>
  </sheetData>
  <mergeCells count="1">
    <mergeCell ref="A1:F1"/>
  </mergeCells>
  <pageMargins left="0.7" right="0.7" top="0.75" bottom="0.75" header="0.3" footer="0.3"/>
  <pageSetup orientation="portrait" horizontalDpi="360" verticalDpi="36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Z11"/>
  <sheetViews>
    <sheetView topLeftCell="B4" workbookViewId="0">
      <selection activeCell="W31" sqref="W31"/>
    </sheetView>
  </sheetViews>
  <sheetFormatPr defaultColWidth="8.85546875" defaultRowHeight="15" x14ac:dyDescent="0.25"/>
  <cols>
    <col min="2" max="2" width="11.28515625" customWidth="1"/>
    <col min="3" max="3" width="7.28515625" customWidth="1"/>
    <col min="4" max="4" width="7.140625" customWidth="1"/>
    <col min="5" max="5" width="8.140625" customWidth="1"/>
    <col min="6" max="7" width="7.28515625" customWidth="1"/>
    <col min="8" max="8" width="8.85546875" customWidth="1"/>
    <col min="10" max="10" width="6.7109375" customWidth="1"/>
    <col min="11" max="11" width="5.7109375" customWidth="1"/>
    <col min="13" max="13" width="6.140625" customWidth="1"/>
    <col min="14" max="14" width="7.7109375" customWidth="1"/>
    <col min="16" max="16" width="7.140625" customWidth="1"/>
    <col min="17" max="17" width="7.42578125" customWidth="1"/>
  </cols>
  <sheetData>
    <row r="3" spans="2:26" x14ac:dyDescent="0.25">
      <c r="B3" s="45" t="s">
        <v>21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2:26" ht="45" x14ac:dyDescent="0.25">
      <c r="B4" s="6" t="s">
        <v>22</v>
      </c>
      <c r="C4" s="46" t="s">
        <v>5</v>
      </c>
      <c r="D4" s="46"/>
      <c r="E4" s="46"/>
      <c r="F4" s="48" t="s">
        <v>8</v>
      </c>
      <c r="G4" s="48"/>
      <c r="H4" s="48"/>
      <c r="I4" s="47" t="s">
        <v>6</v>
      </c>
      <c r="J4" s="47"/>
      <c r="K4" s="47"/>
      <c r="L4" s="47" t="s">
        <v>7</v>
      </c>
      <c r="M4" s="47"/>
      <c r="N4" s="47"/>
      <c r="O4" s="9"/>
      <c r="P4" s="46" t="s">
        <v>23</v>
      </c>
      <c r="Q4" s="46"/>
    </row>
    <row r="5" spans="2:26" x14ac:dyDescent="0.25">
      <c r="B5" s="5"/>
      <c r="C5" s="5" t="s">
        <v>18</v>
      </c>
      <c r="D5" s="2" t="s">
        <v>16</v>
      </c>
      <c r="E5" s="2" t="s">
        <v>17</v>
      </c>
      <c r="F5" s="2" t="s">
        <v>18</v>
      </c>
      <c r="G5" s="2" t="s">
        <v>16</v>
      </c>
      <c r="H5" s="2" t="s">
        <v>17</v>
      </c>
      <c r="I5" s="2" t="s">
        <v>18</v>
      </c>
      <c r="J5" s="2" t="s">
        <v>16</v>
      </c>
      <c r="K5" s="2" t="s">
        <v>17</v>
      </c>
      <c r="L5" s="2" t="s">
        <v>18</v>
      </c>
      <c r="M5" s="2" t="s">
        <v>16</v>
      </c>
      <c r="N5" s="2" t="s">
        <v>17</v>
      </c>
      <c r="O5" s="2" t="s">
        <v>18</v>
      </c>
      <c r="P5" s="3" t="s">
        <v>19</v>
      </c>
      <c r="Q5" s="4" t="s">
        <v>17</v>
      </c>
    </row>
    <row r="6" spans="2:26" x14ac:dyDescent="0.25">
      <c r="B6" s="8">
        <v>2014</v>
      </c>
      <c r="C6" s="12">
        <v>133</v>
      </c>
      <c r="D6" s="12">
        <v>18</v>
      </c>
      <c r="E6" s="32">
        <f>D6/C6</f>
        <v>0.13533834586466165</v>
      </c>
      <c r="F6" s="12">
        <v>204</v>
      </c>
      <c r="G6" s="12">
        <v>20</v>
      </c>
      <c r="H6" s="32">
        <f>G6/F6</f>
        <v>9.8039215686274508E-2</v>
      </c>
      <c r="I6" s="12">
        <v>24</v>
      </c>
      <c r="J6" s="12" t="s">
        <v>20</v>
      </c>
      <c r="K6" s="12" t="s">
        <v>20</v>
      </c>
      <c r="L6" s="12">
        <v>438</v>
      </c>
      <c r="M6" s="12">
        <v>69</v>
      </c>
      <c r="N6" s="32">
        <f>M6/L6</f>
        <v>0.15753424657534246</v>
      </c>
      <c r="O6" s="12">
        <v>1201</v>
      </c>
      <c r="P6" s="12">
        <v>202</v>
      </c>
      <c r="Q6" s="32">
        <f>P6/O6</f>
        <v>0.16819317235636969</v>
      </c>
    </row>
    <row r="7" spans="2:26" x14ac:dyDescent="0.25">
      <c r="B7" s="8">
        <v>2015</v>
      </c>
      <c r="C7" s="12">
        <v>165</v>
      </c>
      <c r="D7" s="12">
        <v>32</v>
      </c>
      <c r="E7" s="32">
        <f t="shared" ref="E7:E11" si="0">D7/C7</f>
        <v>0.19393939393939394</v>
      </c>
      <c r="F7" s="12">
        <v>215</v>
      </c>
      <c r="G7" s="12">
        <v>21</v>
      </c>
      <c r="H7" s="32">
        <f t="shared" ref="H7:H11" si="1">G7/F7</f>
        <v>9.7674418604651161E-2</v>
      </c>
      <c r="I7" s="12">
        <v>36</v>
      </c>
      <c r="J7" s="12" t="s">
        <v>20</v>
      </c>
      <c r="K7" s="12" t="s">
        <v>20</v>
      </c>
      <c r="L7" s="12">
        <v>412</v>
      </c>
      <c r="M7" s="12">
        <v>77</v>
      </c>
      <c r="N7" s="32">
        <f t="shared" ref="N7:N11" si="2">M7/L7</f>
        <v>0.18689320388349515</v>
      </c>
      <c r="O7" s="12">
        <v>1201</v>
      </c>
      <c r="P7" s="12">
        <v>226</v>
      </c>
      <c r="Q7" s="32">
        <f t="shared" ref="Q7:Q11" si="3">P7/O7</f>
        <v>0.18817651956702747</v>
      </c>
    </row>
    <row r="8" spans="2:26" x14ac:dyDescent="0.25">
      <c r="B8" s="8">
        <v>2016</v>
      </c>
      <c r="C8" s="12">
        <v>140</v>
      </c>
      <c r="D8" s="12">
        <v>26</v>
      </c>
      <c r="E8" s="32">
        <f t="shared" si="0"/>
        <v>0.18571428571428572</v>
      </c>
      <c r="F8" s="12">
        <v>200</v>
      </c>
      <c r="G8" s="12">
        <v>24</v>
      </c>
      <c r="H8" s="32">
        <f t="shared" si="1"/>
        <v>0.12</v>
      </c>
      <c r="I8" s="12">
        <v>26</v>
      </c>
      <c r="J8" s="12" t="s">
        <v>20</v>
      </c>
      <c r="K8" s="12" t="s">
        <v>20</v>
      </c>
      <c r="L8" s="12">
        <v>305</v>
      </c>
      <c r="M8" s="12">
        <v>65</v>
      </c>
      <c r="N8" s="32">
        <f t="shared" si="2"/>
        <v>0.21311475409836064</v>
      </c>
      <c r="O8" s="12">
        <v>1127</v>
      </c>
      <c r="P8" s="12">
        <v>205</v>
      </c>
      <c r="Q8" s="32">
        <f t="shared" si="3"/>
        <v>0.18189884649511978</v>
      </c>
    </row>
    <row r="9" spans="2:26" x14ac:dyDescent="0.25">
      <c r="B9" s="12">
        <v>2017</v>
      </c>
      <c r="C9" s="12">
        <v>202</v>
      </c>
      <c r="D9" s="12">
        <v>34</v>
      </c>
      <c r="E9" s="32">
        <f t="shared" si="0"/>
        <v>0.16831683168316833</v>
      </c>
      <c r="F9" s="12">
        <v>208</v>
      </c>
      <c r="G9" s="12">
        <v>21</v>
      </c>
      <c r="H9" s="32">
        <f t="shared" si="1"/>
        <v>0.10096153846153846</v>
      </c>
      <c r="I9" s="12">
        <v>40</v>
      </c>
      <c r="J9" s="12" t="s">
        <v>20</v>
      </c>
      <c r="K9" s="12" t="s">
        <v>20</v>
      </c>
      <c r="L9" s="12">
        <v>310</v>
      </c>
      <c r="M9" s="12">
        <v>53</v>
      </c>
      <c r="N9" s="32">
        <f t="shared" si="2"/>
        <v>0.17096774193548386</v>
      </c>
      <c r="O9" s="12">
        <v>1276</v>
      </c>
      <c r="P9" s="13">
        <v>227</v>
      </c>
      <c r="Q9" s="32">
        <f t="shared" si="3"/>
        <v>0.17789968652037619</v>
      </c>
    </row>
    <row r="10" spans="2:26" x14ac:dyDescent="0.25">
      <c r="B10" s="30">
        <v>2018</v>
      </c>
      <c r="C10" s="30">
        <v>147</v>
      </c>
      <c r="D10" s="30">
        <v>31</v>
      </c>
      <c r="E10" s="32">
        <f t="shared" si="0"/>
        <v>0.21088435374149661</v>
      </c>
      <c r="F10" s="30">
        <v>168</v>
      </c>
      <c r="G10" s="30">
        <v>17</v>
      </c>
      <c r="H10" s="32">
        <f t="shared" si="1"/>
        <v>0.10119047619047619</v>
      </c>
      <c r="I10" s="30">
        <v>36</v>
      </c>
      <c r="J10" s="30" t="s">
        <v>20</v>
      </c>
      <c r="K10" s="30" t="s">
        <v>20</v>
      </c>
      <c r="L10" s="30">
        <v>278</v>
      </c>
      <c r="M10" s="30">
        <v>53</v>
      </c>
      <c r="N10" s="32">
        <f t="shared" si="2"/>
        <v>0.1906474820143885</v>
      </c>
      <c r="O10" s="30">
        <v>1020</v>
      </c>
      <c r="P10" s="13">
        <v>198</v>
      </c>
      <c r="Q10" s="32">
        <f t="shared" si="3"/>
        <v>0.19411764705882353</v>
      </c>
    </row>
    <row r="11" spans="2:26" x14ac:dyDescent="0.25">
      <c r="B11" s="39">
        <v>2019</v>
      </c>
      <c r="C11" s="39">
        <v>107</v>
      </c>
      <c r="D11" s="39">
        <v>18</v>
      </c>
      <c r="E11" s="32">
        <f t="shared" si="0"/>
        <v>0.16822429906542055</v>
      </c>
      <c r="F11" s="39">
        <v>147</v>
      </c>
      <c r="G11" s="39">
        <v>17</v>
      </c>
      <c r="H11" s="32">
        <f t="shared" si="1"/>
        <v>0.11564625850340136</v>
      </c>
      <c r="I11" s="39">
        <v>47</v>
      </c>
      <c r="J11" s="39" t="s">
        <v>20</v>
      </c>
      <c r="K11" s="39" t="s">
        <v>20</v>
      </c>
      <c r="L11" s="39">
        <v>232</v>
      </c>
      <c r="M11" s="39">
        <v>47</v>
      </c>
      <c r="N11" s="32">
        <f t="shared" si="2"/>
        <v>0.20258620689655171</v>
      </c>
      <c r="O11" s="39">
        <v>896</v>
      </c>
      <c r="P11" s="13">
        <v>154</v>
      </c>
      <c r="Q11" s="32">
        <f t="shared" si="3"/>
        <v>0.171875</v>
      </c>
      <c r="Z11">
        <v>20</v>
      </c>
    </row>
  </sheetData>
  <mergeCells count="6">
    <mergeCell ref="B3:Q3"/>
    <mergeCell ref="P4:Q4"/>
    <mergeCell ref="C4:E4"/>
    <mergeCell ref="L4:N4"/>
    <mergeCell ref="I4:K4"/>
    <mergeCell ref="F4:H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9"/>
  <sheetViews>
    <sheetView workbookViewId="0">
      <selection activeCell="O16" sqref="O16"/>
    </sheetView>
  </sheetViews>
  <sheetFormatPr defaultColWidth="8.85546875" defaultRowHeight="15" x14ac:dyDescent="0.25"/>
  <cols>
    <col min="1" max="1" width="21.140625" customWidth="1"/>
    <col min="2" max="2" width="13.28515625" customWidth="1"/>
    <col min="3" max="3" width="16.42578125" customWidth="1"/>
    <col min="4" max="4" width="15.28515625" customWidth="1"/>
    <col min="6" max="6" width="11.42578125" customWidth="1"/>
  </cols>
  <sheetData>
    <row r="2" spans="1:6" x14ac:dyDescent="0.25">
      <c r="A2" s="49" t="s">
        <v>11</v>
      </c>
      <c r="B2" s="49"/>
      <c r="C2" s="49"/>
      <c r="D2" s="49"/>
      <c r="E2" s="49"/>
      <c r="F2" s="49"/>
    </row>
    <row r="3" spans="1:6" x14ac:dyDescent="0.25">
      <c r="A3" s="21"/>
      <c r="B3" s="21" t="s">
        <v>5</v>
      </c>
      <c r="C3" s="21" t="s">
        <v>8</v>
      </c>
      <c r="D3" s="21" t="s">
        <v>6</v>
      </c>
      <c r="E3" s="21" t="s">
        <v>7</v>
      </c>
      <c r="F3" s="21" t="s">
        <v>23</v>
      </c>
    </row>
    <row r="4" spans="1:6" x14ac:dyDescent="0.25">
      <c r="A4" s="1" t="s">
        <v>12</v>
      </c>
      <c r="B4" s="1">
        <v>61</v>
      </c>
      <c r="C4" s="1">
        <v>106</v>
      </c>
      <c r="D4" s="1">
        <v>11</v>
      </c>
      <c r="E4" s="1">
        <v>220</v>
      </c>
      <c r="F4" s="8">
        <v>543</v>
      </c>
    </row>
    <row r="5" spans="1:6" x14ac:dyDescent="0.25">
      <c r="A5" s="1" t="s">
        <v>13</v>
      </c>
      <c r="B5" s="1">
        <v>55</v>
      </c>
      <c r="C5" s="1">
        <v>97</v>
      </c>
      <c r="D5" s="1">
        <v>7</v>
      </c>
      <c r="E5" s="1">
        <v>212</v>
      </c>
      <c r="F5" s="8">
        <v>506</v>
      </c>
    </row>
    <row r="6" spans="1:6" x14ac:dyDescent="0.25">
      <c r="A6" s="1" t="s">
        <v>14</v>
      </c>
      <c r="B6" s="1">
        <v>73</v>
      </c>
      <c r="C6" s="1">
        <v>106</v>
      </c>
      <c r="D6" s="1">
        <v>8</v>
      </c>
      <c r="E6" s="1">
        <v>208</v>
      </c>
      <c r="F6" s="8">
        <v>535</v>
      </c>
    </row>
    <row r="7" spans="1:6" x14ac:dyDescent="0.25">
      <c r="A7" s="1" t="s">
        <v>15</v>
      </c>
      <c r="B7" s="1">
        <v>58</v>
      </c>
      <c r="C7" s="1">
        <v>115</v>
      </c>
      <c r="D7" s="1" t="s">
        <v>10</v>
      </c>
      <c r="E7" s="1">
        <v>159</v>
      </c>
      <c r="F7" s="8">
        <v>502</v>
      </c>
    </row>
    <row r="8" spans="1:6" x14ac:dyDescent="0.25">
      <c r="A8" s="16" t="s">
        <v>38</v>
      </c>
      <c r="B8" s="16">
        <v>59</v>
      </c>
      <c r="C8" s="16">
        <v>111</v>
      </c>
      <c r="D8" s="16" t="s">
        <v>10</v>
      </c>
      <c r="E8" s="16">
        <v>175</v>
      </c>
      <c r="F8" s="16">
        <v>520</v>
      </c>
    </row>
    <row r="9" spans="1:6" x14ac:dyDescent="0.25">
      <c r="A9" s="39" t="s">
        <v>42</v>
      </c>
      <c r="B9" s="39">
        <v>55</v>
      </c>
      <c r="C9" s="39">
        <v>102</v>
      </c>
      <c r="D9" s="39">
        <v>14</v>
      </c>
      <c r="E9" s="39">
        <v>179</v>
      </c>
      <c r="F9" s="39">
        <v>500</v>
      </c>
    </row>
  </sheetData>
  <mergeCells count="1"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5:S12"/>
  <sheetViews>
    <sheetView tabSelected="1" topLeftCell="B1" workbookViewId="0">
      <selection activeCell="M7" sqref="M7:M12"/>
    </sheetView>
  </sheetViews>
  <sheetFormatPr defaultColWidth="8.85546875" defaultRowHeight="15" x14ac:dyDescent="0.25"/>
  <sheetData>
    <row r="5" spans="3:19" ht="45" x14ac:dyDescent="0.25">
      <c r="D5" s="22" t="s">
        <v>22</v>
      </c>
      <c r="E5" s="46" t="s">
        <v>5</v>
      </c>
      <c r="F5" s="46"/>
      <c r="G5" s="46"/>
      <c r="H5" s="46" t="s">
        <v>8</v>
      </c>
      <c r="I5" s="46"/>
      <c r="J5" s="46"/>
      <c r="K5" s="46" t="s">
        <v>6</v>
      </c>
      <c r="L5" s="46"/>
      <c r="M5" s="46"/>
      <c r="N5" s="46" t="s">
        <v>7</v>
      </c>
      <c r="O5" s="46"/>
      <c r="P5" s="46"/>
      <c r="Q5" s="46" t="s">
        <v>23</v>
      </c>
      <c r="R5" s="46"/>
      <c r="S5" s="46"/>
    </row>
    <row r="6" spans="3:19" x14ac:dyDescent="0.25">
      <c r="D6" s="23"/>
      <c r="E6" s="23" t="s">
        <v>18</v>
      </c>
      <c r="F6" s="4" t="s">
        <v>16</v>
      </c>
      <c r="G6" s="4" t="s">
        <v>17</v>
      </c>
      <c r="H6" s="4" t="s">
        <v>18</v>
      </c>
      <c r="I6" s="4" t="s">
        <v>16</v>
      </c>
      <c r="J6" s="4" t="s">
        <v>17</v>
      </c>
      <c r="K6" s="4" t="s">
        <v>18</v>
      </c>
      <c r="L6" s="4" t="s">
        <v>16</v>
      </c>
      <c r="M6" s="4" t="s">
        <v>17</v>
      </c>
      <c r="N6" s="4" t="s">
        <v>18</v>
      </c>
      <c r="O6" s="4" t="s">
        <v>16</v>
      </c>
      <c r="P6" s="4" t="s">
        <v>17</v>
      </c>
      <c r="Q6" s="4" t="s">
        <v>18</v>
      </c>
      <c r="R6" s="4" t="s">
        <v>16</v>
      </c>
      <c r="S6" s="4" t="s">
        <v>17</v>
      </c>
    </row>
    <row r="7" spans="3:19" x14ac:dyDescent="0.25">
      <c r="D7" s="35" t="s">
        <v>2</v>
      </c>
      <c r="E7" s="35">
        <v>134</v>
      </c>
      <c r="F7" s="35">
        <v>4</v>
      </c>
      <c r="G7" s="10">
        <f>F7/E7</f>
        <v>2.9850746268656716E-2</v>
      </c>
      <c r="H7" s="35">
        <v>207</v>
      </c>
      <c r="I7" s="35">
        <v>8</v>
      </c>
      <c r="J7" s="10">
        <f>I7/H7</f>
        <v>3.864734299516908E-2</v>
      </c>
      <c r="K7" s="35">
        <v>25</v>
      </c>
      <c r="L7" s="35" t="s">
        <v>10</v>
      </c>
      <c r="M7" s="24" t="s">
        <v>20</v>
      </c>
      <c r="N7" s="35">
        <v>469</v>
      </c>
      <c r="O7" s="35">
        <v>54</v>
      </c>
      <c r="P7" s="10">
        <f>O7/N7</f>
        <v>0.11513859275053305</v>
      </c>
      <c r="Q7" s="35">
        <v>1257</v>
      </c>
      <c r="R7" s="35">
        <v>113</v>
      </c>
      <c r="S7" s="10">
        <f>R7/Q7</f>
        <v>8.9896579156722362E-2</v>
      </c>
    </row>
    <row r="8" spans="3:19" x14ac:dyDescent="0.25">
      <c r="D8" s="35" t="s">
        <v>3</v>
      </c>
      <c r="E8" s="35">
        <v>171</v>
      </c>
      <c r="F8" s="35">
        <v>12</v>
      </c>
      <c r="G8" s="10">
        <f t="shared" ref="G8:G12" si="0">F8/E8</f>
        <v>7.0175438596491224E-2</v>
      </c>
      <c r="H8" s="35">
        <v>222</v>
      </c>
      <c r="I8" s="35">
        <v>17</v>
      </c>
      <c r="J8" s="10">
        <f t="shared" ref="J8:J12" si="1">I8/H8</f>
        <v>7.6576576576576572E-2</v>
      </c>
      <c r="K8" s="35">
        <v>38</v>
      </c>
      <c r="L8" s="35" t="s">
        <v>10</v>
      </c>
      <c r="M8" s="10" t="s">
        <v>20</v>
      </c>
      <c r="N8" s="35">
        <v>432</v>
      </c>
      <c r="O8" s="35">
        <v>49</v>
      </c>
      <c r="P8" s="10">
        <f t="shared" ref="P8:P12" si="2">O8/N8</f>
        <v>0.11342592592592593</v>
      </c>
      <c r="Q8" s="35">
        <v>1260</v>
      </c>
      <c r="R8" s="35">
        <v>137</v>
      </c>
      <c r="S8" s="10">
        <f t="shared" ref="S8:S12" si="3">R8/Q8</f>
        <v>0.10873015873015873</v>
      </c>
    </row>
    <row r="9" spans="3:19" x14ac:dyDescent="0.25">
      <c r="D9" s="35" t="s">
        <v>4</v>
      </c>
      <c r="E9" s="35">
        <v>150</v>
      </c>
      <c r="F9" s="35">
        <v>14</v>
      </c>
      <c r="G9" s="10">
        <f t="shared" si="0"/>
        <v>9.3333333333333338E-2</v>
      </c>
      <c r="H9" s="35">
        <v>208</v>
      </c>
      <c r="I9" s="35">
        <v>13</v>
      </c>
      <c r="J9" s="10">
        <f t="shared" si="1"/>
        <v>6.25E-2</v>
      </c>
      <c r="K9" s="35">
        <v>28</v>
      </c>
      <c r="L9" s="35" t="s">
        <v>10</v>
      </c>
      <c r="M9" s="10" t="s">
        <v>20</v>
      </c>
      <c r="N9" s="35">
        <v>321</v>
      </c>
      <c r="O9" s="35">
        <v>38</v>
      </c>
      <c r="P9" s="10">
        <f t="shared" si="2"/>
        <v>0.11838006230529595</v>
      </c>
      <c r="Q9" s="35">
        <v>1201</v>
      </c>
      <c r="R9" s="35">
        <v>133</v>
      </c>
      <c r="S9" s="10">
        <f t="shared" si="3"/>
        <v>0.11074104912572856</v>
      </c>
    </row>
    <row r="10" spans="3:19" x14ac:dyDescent="0.25">
      <c r="C10" s="18"/>
      <c r="D10" s="19" t="s">
        <v>37</v>
      </c>
      <c r="E10" s="19">
        <v>210</v>
      </c>
      <c r="F10" s="19">
        <v>13</v>
      </c>
      <c r="G10" s="10">
        <f t="shared" si="0"/>
        <v>6.1904761904761907E-2</v>
      </c>
      <c r="H10" s="19">
        <v>219</v>
      </c>
      <c r="I10" s="19">
        <v>20</v>
      </c>
      <c r="J10" s="10">
        <f t="shared" si="1"/>
        <v>9.1324200913242004E-2</v>
      </c>
      <c r="K10" s="19">
        <v>42</v>
      </c>
      <c r="L10" s="35" t="s">
        <v>10</v>
      </c>
      <c r="M10" s="25" t="s">
        <v>20</v>
      </c>
      <c r="N10" s="19">
        <v>328</v>
      </c>
      <c r="O10" s="19">
        <v>36</v>
      </c>
      <c r="P10" s="10">
        <f t="shared" si="2"/>
        <v>0.10975609756097561</v>
      </c>
      <c r="Q10" s="19">
        <v>1366</v>
      </c>
      <c r="R10" s="19">
        <v>155</v>
      </c>
      <c r="S10" s="10">
        <f t="shared" si="3"/>
        <v>0.11346998535871157</v>
      </c>
    </row>
    <row r="11" spans="3:19" x14ac:dyDescent="0.25">
      <c r="D11" s="13" t="s">
        <v>38</v>
      </c>
      <c r="E11" s="13">
        <v>152</v>
      </c>
      <c r="F11" s="13">
        <v>11</v>
      </c>
      <c r="G11" s="10">
        <f t="shared" si="0"/>
        <v>7.2368421052631582E-2</v>
      </c>
      <c r="H11" s="13">
        <v>177</v>
      </c>
      <c r="I11" s="13">
        <v>16</v>
      </c>
      <c r="J11" s="10">
        <f t="shared" si="1"/>
        <v>9.03954802259887E-2</v>
      </c>
      <c r="K11" s="13">
        <v>36</v>
      </c>
      <c r="L11" s="35" t="s">
        <v>10</v>
      </c>
      <c r="M11" s="42" t="s">
        <v>20</v>
      </c>
      <c r="N11" s="13">
        <v>278</v>
      </c>
      <c r="O11" s="13">
        <v>27</v>
      </c>
      <c r="P11" s="10">
        <f t="shared" si="2"/>
        <v>9.7122302158273388E-2</v>
      </c>
      <c r="Q11" s="13">
        <v>1068</v>
      </c>
      <c r="R11" s="13">
        <v>112</v>
      </c>
      <c r="S11" s="10">
        <f t="shared" si="3"/>
        <v>0.10486891385767791</v>
      </c>
    </row>
    <row r="12" spans="3:19" x14ac:dyDescent="0.25">
      <c r="D12" s="13" t="s">
        <v>42</v>
      </c>
      <c r="E12" s="13">
        <v>114</v>
      </c>
      <c r="F12" s="13">
        <v>14</v>
      </c>
      <c r="G12" s="14">
        <f t="shared" si="0"/>
        <v>0.12280701754385964</v>
      </c>
      <c r="H12" s="13">
        <v>146</v>
      </c>
      <c r="I12" s="13">
        <v>10</v>
      </c>
      <c r="J12" s="14">
        <f t="shared" si="1"/>
        <v>6.8493150684931503E-2</v>
      </c>
      <c r="K12" s="13">
        <v>47</v>
      </c>
      <c r="L12" s="40" t="s">
        <v>10</v>
      </c>
      <c r="M12" s="42" t="s">
        <v>20</v>
      </c>
      <c r="N12" s="13">
        <v>248</v>
      </c>
      <c r="O12" s="13">
        <v>34</v>
      </c>
      <c r="P12" s="14">
        <f t="shared" si="2"/>
        <v>0.13709677419354838</v>
      </c>
      <c r="Q12" s="13">
        <v>954</v>
      </c>
      <c r="R12" s="13">
        <v>121</v>
      </c>
      <c r="S12" s="14">
        <f t="shared" si="3"/>
        <v>0.12683438155136267</v>
      </c>
    </row>
  </sheetData>
  <mergeCells count="5">
    <mergeCell ref="Q5:S5"/>
    <mergeCell ref="E5:G5"/>
    <mergeCell ref="H5:J5"/>
    <mergeCell ref="K5:M5"/>
    <mergeCell ref="N5:P5"/>
  </mergeCells>
  <phoneticPr fontId="3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1"/>
  <sheetViews>
    <sheetView topLeftCell="A4" workbookViewId="0">
      <selection activeCell="E5" sqref="E5:X11"/>
    </sheetView>
  </sheetViews>
  <sheetFormatPr defaultColWidth="8.85546875" defaultRowHeight="15" x14ac:dyDescent="0.25"/>
  <cols>
    <col min="5" max="6" width="11.28515625" customWidth="1"/>
    <col min="7" max="7" width="15" customWidth="1"/>
    <col min="8" max="8" width="10.7109375" customWidth="1"/>
    <col min="9" max="10" width="10.42578125" customWidth="1"/>
    <col min="11" max="11" width="12.28515625" customWidth="1"/>
    <col min="13" max="14" width="10.28515625" customWidth="1"/>
    <col min="15" max="15" width="11.42578125" customWidth="1"/>
    <col min="16" max="16" width="11.28515625" customWidth="1"/>
    <col min="17" max="18" width="10.85546875" customWidth="1"/>
    <col min="19" max="19" width="12.140625" customWidth="1"/>
    <col min="20" max="20" width="11.85546875" customWidth="1"/>
    <col min="21" max="22" width="10.7109375" customWidth="1"/>
    <col min="23" max="23" width="11.42578125" customWidth="1"/>
    <col min="24" max="24" width="11.7109375" customWidth="1"/>
  </cols>
  <sheetData>
    <row r="1" spans="1:24" x14ac:dyDescent="0.25">
      <c r="A1" t="s">
        <v>28</v>
      </c>
    </row>
    <row r="2" spans="1:24" x14ac:dyDescent="0.25"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24" ht="45" x14ac:dyDescent="0.25">
      <c r="D3" s="22" t="s">
        <v>22</v>
      </c>
      <c r="E3" s="46" t="s">
        <v>5</v>
      </c>
      <c r="F3" s="46"/>
      <c r="G3" s="46"/>
      <c r="H3" s="46"/>
      <c r="I3" s="46" t="s">
        <v>8</v>
      </c>
      <c r="J3" s="46"/>
      <c r="K3" s="46"/>
      <c r="L3" s="46"/>
      <c r="M3" s="46" t="s">
        <v>6</v>
      </c>
      <c r="N3" s="46"/>
      <c r="O3" s="46"/>
      <c r="P3" s="46"/>
      <c r="Q3" s="46" t="s">
        <v>7</v>
      </c>
      <c r="R3" s="46"/>
      <c r="S3" s="46"/>
      <c r="T3" s="46"/>
      <c r="U3" s="46" t="s">
        <v>23</v>
      </c>
      <c r="V3" s="46"/>
      <c r="W3" s="46"/>
      <c r="X3" s="46"/>
    </row>
    <row r="4" spans="1:24" ht="90" x14ac:dyDescent="0.25">
      <c r="D4" s="27"/>
      <c r="E4" s="27" t="s">
        <v>25</v>
      </c>
      <c r="F4" s="27" t="s">
        <v>40</v>
      </c>
      <c r="G4" s="28" t="s">
        <v>41</v>
      </c>
      <c r="H4" s="28" t="s">
        <v>27</v>
      </c>
      <c r="I4" s="27" t="s">
        <v>25</v>
      </c>
      <c r="J4" s="27" t="s">
        <v>40</v>
      </c>
      <c r="K4" s="28" t="s">
        <v>41</v>
      </c>
      <c r="L4" s="28" t="s">
        <v>27</v>
      </c>
      <c r="M4" s="27" t="s">
        <v>25</v>
      </c>
      <c r="N4" s="27" t="s">
        <v>40</v>
      </c>
      <c r="O4" s="28" t="s">
        <v>41</v>
      </c>
      <c r="P4" s="28" t="s">
        <v>27</v>
      </c>
      <c r="Q4" s="27" t="s">
        <v>25</v>
      </c>
      <c r="R4" s="27" t="s">
        <v>40</v>
      </c>
      <c r="S4" s="28" t="s">
        <v>41</v>
      </c>
      <c r="T4" s="28" t="s">
        <v>27</v>
      </c>
      <c r="U4" s="27" t="s">
        <v>25</v>
      </c>
      <c r="V4" s="27" t="s">
        <v>40</v>
      </c>
      <c r="W4" s="28" t="s">
        <v>41</v>
      </c>
      <c r="X4" s="28" t="s">
        <v>27</v>
      </c>
    </row>
    <row r="5" spans="1:24" x14ac:dyDescent="0.25">
      <c r="D5" s="31" t="s">
        <v>1</v>
      </c>
      <c r="E5" s="43">
        <v>875</v>
      </c>
      <c r="F5" s="43">
        <f>E5-139</f>
        <v>736</v>
      </c>
      <c r="G5" s="43">
        <v>460</v>
      </c>
      <c r="H5" s="10">
        <f>G5/F5</f>
        <v>0.625</v>
      </c>
      <c r="I5" s="43">
        <v>1033</v>
      </c>
      <c r="J5" s="43">
        <f>I5-154</f>
        <v>879</v>
      </c>
      <c r="K5" s="43">
        <v>463</v>
      </c>
      <c r="L5" s="10">
        <f>K5/J5</f>
        <v>0.52673492605233219</v>
      </c>
      <c r="M5" s="43">
        <v>124</v>
      </c>
      <c r="N5" s="43">
        <f>M5-18</f>
        <v>106</v>
      </c>
      <c r="O5" s="43">
        <v>44</v>
      </c>
      <c r="P5" s="29">
        <f>O5/N5</f>
        <v>0.41509433962264153</v>
      </c>
      <c r="Q5" s="43">
        <v>1517</v>
      </c>
      <c r="R5" s="43">
        <f>Q5-278</f>
        <v>1239</v>
      </c>
      <c r="S5" s="43">
        <v>787</v>
      </c>
      <c r="T5" s="10">
        <f>S5/R5</f>
        <v>0.63518966908797414</v>
      </c>
      <c r="U5" s="43">
        <v>6399</v>
      </c>
      <c r="V5" s="43">
        <f>U5-1156</f>
        <v>5243</v>
      </c>
      <c r="W5" s="43">
        <v>3058</v>
      </c>
      <c r="X5" s="29">
        <f>W5/V5</f>
        <v>0.58325386229258058</v>
      </c>
    </row>
    <row r="6" spans="1:24" x14ac:dyDescent="0.25">
      <c r="D6" s="31" t="s">
        <v>2</v>
      </c>
      <c r="E6" s="43">
        <v>843</v>
      </c>
      <c r="F6" s="43">
        <f>E6-149</f>
        <v>694</v>
      </c>
      <c r="G6" s="43">
        <v>446</v>
      </c>
      <c r="H6" s="10">
        <f t="shared" ref="H6:H11" si="0">G6/F6</f>
        <v>0.64265129682997113</v>
      </c>
      <c r="I6" s="43">
        <v>926</v>
      </c>
      <c r="J6" s="43">
        <f>I6-181</f>
        <v>745</v>
      </c>
      <c r="K6" s="43">
        <v>389</v>
      </c>
      <c r="L6" s="10">
        <f t="shared" ref="L6:L10" si="1">K6/J6</f>
        <v>0.52214765100671146</v>
      </c>
      <c r="M6" s="43">
        <v>107</v>
      </c>
      <c r="N6" s="43">
        <f>M6-14</f>
        <v>93</v>
      </c>
      <c r="O6" s="43">
        <v>55</v>
      </c>
      <c r="P6" s="29">
        <f t="shared" ref="P6:P10" si="2">O6/N6</f>
        <v>0.59139784946236562</v>
      </c>
      <c r="Q6" s="43">
        <v>1291</v>
      </c>
      <c r="R6" s="43">
        <f>Q6-285</f>
        <v>1006</v>
      </c>
      <c r="S6" s="43">
        <v>643</v>
      </c>
      <c r="T6" s="10">
        <f t="shared" ref="T6:T10" si="3">S6/R6</f>
        <v>0.63916500994035785</v>
      </c>
      <c r="U6" s="43">
        <v>5959</v>
      </c>
      <c r="V6" s="43">
        <f>U6-1273</f>
        <v>4686</v>
      </c>
      <c r="W6" s="43">
        <v>2795</v>
      </c>
      <c r="X6" s="29">
        <f t="shared" ref="X6:X11" si="4">W6/V6</f>
        <v>0.59645753307725136</v>
      </c>
    </row>
    <row r="7" spans="1:24" x14ac:dyDescent="0.25">
      <c r="D7" s="31" t="s">
        <v>3</v>
      </c>
      <c r="E7" s="43">
        <v>871</v>
      </c>
      <c r="F7" s="43">
        <f>E7-149</f>
        <v>722</v>
      </c>
      <c r="G7" s="43">
        <v>450</v>
      </c>
      <c r="H7" s="10">
        <f t="shared" si="0"/>
        <v>0.62326869806094187</v>
      </c>
      <c r="I7" s="43">
        <v>917</v>
      </c>
      <c r="J7" s="43">
        <f>I7-165</f>
        <v>752</v>
      </c>
      <c r="K7" s="43">
        <v>381</v>
      </c>
      <c r="L7" s="10">
        <f t="shared" si="1"/>
        <v>0.50664893617021278</v>
      </c>
      <c r="M7" s="43">
        <v>139</v>
      </c>
      <c r="N7" s="43">
        <f>M7-22</f>
        <v>117</v>
      </c>
      <c r="O7" s="43">
        <v>55</v>
      </c>
      <c r="P7" s="29">
        <f t="shared" si="2"/>
        <v>0.47008547008547008</v>
      </c>
      <c r="Q7" s="43">
        <v>1250</v>
      </c>
      <c r="R7" s="43">
        <f>Q7-231</f>
        <v>1019</v>
      </c>
      <c r="S7" s="43">
        <v>640</v>
      </c>
      <c r="T7" s="10">
        <f t="shared" si="3"/>
        <v>0.62806673209028463</v>
      </c>
      <c r="U7" s="43">
        <v>5804</v>
      </c>
      <c r="V7" s="43">
        <f>U7-1192</f>
        <v>4612</v>
      </c>
      <c r="W7" s="43">
        <v>2644</v>
      </c>
      <c r="X7" s="29">
        <f t="shared" si="4"/>
        <v>0.57328707718993932</v>
      </c>
    </row>
    <row r="8" spans="1:24" x14ac:dyDescent="0.25">
      <c r="D8" s="13" t="s">
        <v>4</v>
      </c>
      <c r="E8" s="43">
        <v>843</v>
      </c>
      <c r="F8" s="43">
        <f>E8-164</f>
        <v>679</v>
      </c>
      <c r="G8" s="43">
        <v>433</v>
      </c>
      <c r="H8" s="10">
        <f t="shared" si="0"/>
        <v>0.63770250368188508</v>
      </c>
      <c r="I8" s="43">
        <v>974</v>
      </c>
      <c r="J8" s="43">
        <f>I8-174</f>
        <v>800</v>
      </c>
      <c r="K8" s="43">
        <v>370</v>
      </c>
      <c r="L8" s="10">
        <f t="shared" si="1"/>
        <v>0.46250000000000002</v>
      </c>
      <c r="M8" s="43">
        <v>127</v>
      </c>
      <c r="N8" s="43">
        <f>M8-17</f>
        <v>110</v>
      </c>
      <c r="O8" s="43">
        <v>54</v>
      </c>
      <c r="P8" s="29">
        <f t="shared" si="2"/>
        <v>0.49090909090909091</v>
      </c>
      <c r="Q8" s="43">
        <v>1183</v>
      </c>
      <c r="R8" s="43">
        <f>Q8-235</f>
        <v>948</v>
      </c>
      <c r="S8" s="43">
        <v>571</v>
      </c>
      <c r="T8" s="10">
        <f t="shared" si="3"/>
        <v>0.60232067510548526</v>
      </c>
      <c r="U8" s="13">
        <v>5647</v>
      </c>
      <c r="V8" s="13">
        <f>U8-1123</f>
        <v>4524</v>
      </c>
      <c r="W8" s="13">
        <v>2529</v>
      </c>
      <c r="X8" s="29">
        <f t="shared" si="4"/>
        <v>0.55901856763925728</v>
      </c>
    </row>
    <row r="9" spans="1:24" x14ac:dyDescent="0.25">
      <c r="D9" s="13" t="s">
        <v>37</v>
      </c>
      <c r="E9" s="13">
        <v>790</v>
      </c>
      <c r="F9" s="13">
        <f>E9-147</f>
        <v>643</v>
      </c>
      <c r="G9" s="13">
        <v>414</v>
      </c>
      <c r="H9" s="10">
        <f t="shared" si="0"/>
        <v>0.64385692068429234</v>
      </c>
      <c r="I9" s="13">
        <v>831</v>
      </c>
      <c r="J9" s="13">
        <f>I9-153</f>
        <v>678</v>
      </c>
      <c r="K9" s="13">
        <v>358</v>
      </c>
      <c r="L9" s="10">
        <f t="shared" si="1"/>
        <v>0.528023598820059</v>
      </c>
      <c r="M9" s="13">
        <v>138</v>
      </c>
      <c r="N9" s="13">
        <f>M9-14</f>
        <v>124</v>
      </c>
      <c r="O9" s="13">
        <v>57</v>
      </c>
      <c r="P9" s="29">
        <f t="shared" si="2"/>
        <v>0.45967741935483869</v>
      </c>
      <c r="Q9" s="13">
        <v>990</v>
      </c>
      <c r="R9" s="13">
        <f>Q9-210</f>
        <v>780</v>
      </c>
      <c r="S9" s="13">
        <v>525</v>
      </c>
      <c r="T9" s="10">
        <f t="shared" si="3"/>
        <v>0.67307692307692313</v>
      </c>
      <c r="U9" s="13">
        <v>5256</v>
      </c>
      <c r="V9" s="13">
        <f>U9-1117</f>
        <v>4139</v>
      </c>
      <c r="W9" s="13">
        <v>2303</v>
      </c>
      <c r="X9" s="29">
        <f t="shared" si="4"/>
        <v>0.55641459289683504</v>
      </c>
    </row>
    <row r="10" spans="1:24" x14ac:dyDescent="0.25">
      <c r="D10" s="13" t="s">
        <v>38</v>
      </c>
      <c r="E10" s="13">
        <v>836</v>
      </c>
      <c r="F10" s="42">
        <v>676</v>
      </c>
      <c r="G10" s="13">
        <v>397</v>
      </c>
      <c r="H10" s="10">
        <f t="shared" si="0"/>
        <v>0.58727810650887569</v>
      </c>
      <c r="I10" s="13">
        <v>940</v>
      </c>
      <c r="J10" s="13">
        <v>767</v>
      </c>
      <c r="K10" s="13">
        <v>367</v>
      </c>
      <c r="L10" s="10">
        <f t="shared" si="1"/>
        <v>0.4784876140808344</v>
      </c>
      <c r="M10" s="13">
        <v>127</v>
      </c>
      <c r="N10" s="13">
        <v>105</v>
      </c>
      <c r="O10" s="13">
        <v>47</v>
      </c>
      <c r="P10" s="29">
        <f t="shared" si="2"/>
        <v>0.44761904761904764</v>
      </c>
      <c r="Q10" s="13">
        <v>960</v>
      </c>
      <c r="R10" s="13">
        <v>780</v>
      </c>
      <c r="S10" s="13">
        <v>492</v>
      </c>
      <c r="T10" s="10">
        <f t="shared" si="3"/>
        <v>0.63076923076923075</v>
      </c>
      <c r="U10" s="13">
        <v>5121</v>
      </c>
      <c r="V10" s="42">
        <v>4055</v>
      </c>
      <c r="W10" s="13">
        <v>2160</v>
      </c>
      <c r="X10" s="44">
        <f t="shared" si="4"/>
        <v>0.53267570900123307</v>
      </c>
    </row>
    <row r="11" spans="1:24" x14ac:dyDescent="0.25">
      <c r="D11" s="13" t="s">
        <v>42</v>
      </c>
      <c r="E11" s="13">
        <v>715</v>
      </c>
      <c r="F11" s="42">
        <v>583</v>
      </c>
      <c r="G11" s="13">
        <v>320</v>
      </c>
      <c r="H11" s="14">
        <f t="shared" si="0"/>
        <v>0.548885077186964</v>
      </c>
      <c r="I11" s="13">
        <v>857</v>
      </c>
      <c r="J11" s="42">
        <v>713</v>
      </c>
      <c r="K11" s="13">
        <v>330</v>
      </c>
      <c r="L11" s="14">
        <f>K11/J11</f>
        <v>0.46283309957924262</v>
      </c>
      <c r="M11" s="13">
        <v>123</v>
      </c>
      <c r="N11" s="42">
        <v>112</v>
      </c>
      <c r="O11" s="13">
        <v>54</v>
      </c>
      <c r="P11" s="44">
        <f>O11/N11</f>
        <v>0.48214285714285715</v>
      </c>
      <c r="Q11" s="13">
        <v>898</v>
      </c>
      <c r="R11" s="42">
        <v>731</v>
      </c>
      <c r="S11" s="13">
        <v>417</v>
      </c>
      <c r="T11" s="14">
        <f>S11/R11</f>
        <v>0.57045143638850893</v>
      </c>
      <c r="U11" s="13">
        <v>4704</v>
      </c>
      <c r="V11" s="42">
        <v>3762</v>
      </c>
      <c r="W11" s="13">
        <v>1925</v>
      </c>
      <c r="X11" s="44">
        <f t="shared" si="4"/>
        <v>0.51169590643274854</v>
      </c>
    </row>
  </sheetData>
  <mergeCells count="6">
    <mergeCell ref="D2:X2"/>
    <mergeCell ref="E3:H3"/>
    <mergeCell ref="I3:L3"/>
    <mergeCell ref="M3:P3"/>
    <mergeCell ref="Q3:T3"/>
    <mergeCell ref="U3:X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W31"/>
  <sheetViews>
    <sheetView topLeftCell="A7" workbookViewId="0">
      <selection activeCell="Q42" sqref="Q42"/>
    </sheetView>
  </sheetViews>
  <sheetFormatPr defaultColWidth="8.85546875" defaultRowHeight="15" x14ac:dyDescent="0.25"/>
  <cols>
    <col min="4" max="5" width="10.42578125" customWidth="1"/>
    <col min="6" max="6" width="15.42578125" customWidth="1"/>
    <col min="7" max="7" width="16.7109375" customWidth="1"/>
    <col min="8" max="9" width="11" customWidth="1"/>
    <col min="10" max="10" width="12.28515625" customWidth="1"/>
    <col min="11" max="11" width="10.7109375" customWidth="1"/>
    <col min="12" max="13" width="10.42578125" customWidth="1"/>
    <col min="14" max="14" width="12.42578125" customWidth="1"/>
    <col min="15" max="15" width="10.42578125" customWidth="1"/>
    <col min="16" max="17" width="10.7109375" customWidth="1"/>
    <col min="18" max="18" width="12.85546875" customWidth="1"/>
    <col min="19" max="19" width="11.140625" customWidth="1"/>
    <col min="20" max="21" width="11.42578125" customWidth="1"/>
    <col min="22" max="22" width="12.42578125" customWidth="1"/>
    <col min="23" max="23" width="12" customWidth="1"/>
  </cols>
  <sheetData>
    <row r="2" spans="3:23" x14ac:dyDescent="0.25">
      <c r="C2" s="50" t="s">
        <v>24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spans="3:23" ht="45" x14ac:dyDescent="0.25">
      <c r="C3" s="22" t="s">
        <v>22</v>
      </c>
      <c r="D3" s="46" t="s">
        <v>5</v>
      </c>
      <c r="E3" s="46"/>
      <c r="F3" s="46"/>
      <c r="G3" s="46"/>
      <c r="H3" s="46" t="s">
        <v>8</v>
      </c>
      <c r="I3" s="46"/>
      <c r="J3" s="46"/>
      <c r="K3" s="46"/>
      <c r="L3" s="46" t="s">
        <v>6</v>
      </c>
      <c r="M3" s="46"/>
      <c r="N3" s="46"/>
      <c r="O3" s="46"/>
      <c r="P3" s="46" t="s">
        <v>7</v>
      </c>
      <c r="Q3" s="46"/>
      <c r="R3" s="46"/>
      <c r="S3" s="46"/>
      <c r="T3" s="46" t="s">
        <v>23</v>
      </c>
      <c r="U3" s="46"/>
      <c r="V3" s="46"/>
      <c r="W3" s="46"/>
    </row>
    <row r="4" spans="3:23" ht="90" x14ac:dyDescent="0.25">
      <c r="C4" s="27"/>
      <c r="D4" s="27" t="s">
        <v>25</v>
      </c>
      <c r="E4" s="27" t="s">
        <v>40</v>
      </c>
      <c r="F4" s="28" t="s">
        <v>26</v>
      </c>
      <c r="G4" s="28" t="s">
        <v>39</v>
      </c>
      <c r="H4" s="27" t="s">
        <v>25</v>
      </c>
      <c r="I4" s="27" t="s">
        <v>40</v>
      </c>
      <c r="J4" s="28" t="s">
        <v>26</v>
      </c>
      <c r="K4" s="28" t="s">
        <v>39</v>
      </c>
      <c r="L4" s="27" t="s">
        <v>25</v>
      </c>
      <c r="M4" s="27" t="s">
        <v>40</v>
      </c>
      <c r="N4" s="28" t="s">
        <v>26</v>
      </c>
      <c r="O4" s="28" t="s">
        <v>39</v>
      </c>
      <c r="P4" s="27" t="s">
        <v>25</v>
      </c>
      <c r="Q4" s="27" t="s">
        <v>40</v>
      </c>
      <c r="R4" s="28" t="s">
        <v>26</v>
      </c>
      <c r="S4" s="28" t="s">
        <v>39</v>
      </c>
      <c r="T4" s="27" t="s">
        <v>25</v>
      </c>
      <c r="U4" s="27" t="s">
        <v>40</v>
      </c>
      <c r="V4" s="28" t="s">
        <v>26</v>
      </c>
      <c r="W4" s="28" t="s">
        <v>39</v>
      </c>
    </row>
    <row r="5" spans="3:23" x14ac:dyDescent="0.25">
      <c r="C5" s="7" t="s">
        <v>1</v>
      </c>
      <c r="D5" s="7">
        <v>875</v>
      </c>
      <c r="E5" s="26">
        <f>D5-38</f>
        <v>837</v>
      </c>
      <c r="F5" s="7">
        <v>652</v>
      </c>
      <c r="G5" s="29">
        <f>F5/E5</f>
        <v>0.77897252090800473</v>
      </c>
      <c r="H5" s="7">
        <v>1033</v>
      </c>
      <c r="I5" s="26">
        <f>H5-49</f>
        <v>984</v>
      </c>
      <c r="J5" s="7">
        <v>699</v>
      </c>
      <c r="K5" s="10">
        <f>J5/I5</f>
        <v>0.71036585365853655</v>
      </c>
      <c r="L5" s="7">
        <v>124</v>
      </c>
      <c r="M5" s="26">
        <v>122</v>
      </c>
      <c r="N5" s="7">
        <v>86</v>
      </c>
      <c r="O5" s="10">
        <f>N5/M5</f>
        <v>0.70491803278688525</v>
      </c>
      <c r="P5" s="7">
        <v>1405</v>
      </c>
      <c r="Q5" s="26">
        <f>P5-80</f>
        <v>1325</v>
      </c>
      <c r="R5" s="7">
        <v>1153</v>
      </c>
      <c r="S5" s="10">
        <f>R5/Q5</f>
        <v>0.87018867924528298</v>
      </c>
      <c r="T5" s="7">
        <v>6399</v>
      </c>
      <c r="U5" s="26">
        <f>T5-354</f>
        <v>6045</v>
      </c>
      <c r="V5" s="7">
        <v>4546</v>
      </c>
      <c r="W5" s="10">
        <f>V5/U5</f>
        <v>0.75202646815550045</v>
      </c>
    </row>
    <row r="6" spans="3:23" x14ac:dyDescent="0.25">
      <c r="C6" s="7" t="s">
        <v>2</v>
      </c>
      <c r="D6" s="7">
        <v>843</v>
      </c>
      <c r="E6" s="26">
        <f>D6-53</f>
        <v>790</v>
      </c>
      <c r="F6" s="7">
        <v>639</v>
      </c>
      <c r="G6" s="29">
        <f t="shared" ref="G6:G10" si="0">F6/E6</f>
        <v>0.80886075949367087</v>
      </c>
      <c r="H6" s="7">
        <v>926</v>
      </c>
      <c r="I6" s="26">
        <f>H6-66</f>
        <v>860</v>
      </c>
      <c r="J6" s="7">
        <v>616</v>
      </c>
      <c r="K6" s="10">
        <f t="shared" ref="K6:K10" si="1">J6/I6</f>
        <v>0.71627906976744182</v>
      </c>
      <c r="L6" s="7">
        <v>107</v>
      </c>
      <c r="M6" s="26">
        <f>L6-2</f>
        <v>105</v>
      </c>
      <c r="N6" s="7">
        <v>79</v>
      </c>
      <c r="O6" s="10">
        <f t="shared" ref="O6:O10" si="2">N6/M6</f>
        <v>0.75238095238095237</v>
      </c>
      <c r="P6" s="7">
        <v>1194</v>
      </c>
      <c r="Q6" s="26">
        <f>P6-83</f>
        <v>1111</v>
      </c>
      <c r="R6" s="7">
        <v>957</v>
      </c>
      <c r="S6" s="10">
        <f t="shared" ref="S6:S10" si="3">R6/Q6</f>
        <v>0.86138613861386137</v>
      </c>
      <c r="T6" s="7">
        <v>5959</v>
      </c>
      <c r="U6" s="26">
        <f>T6-455</f>
        <v>5504</v>
      </c>
      <c r="V6" s="7">
        <v>4187</v>
      </c>
      <c r="W6" s="10">
        <f t="shared" ref="W6:W10" si="4">V6/U6</f>
        <v>0.76071947674418605</v>
      </c>
    </row>
    <row r="7" spans="3:23" x14ac:dyDescent="0.25">
      <c r="C7" s="7" t="s">
        <v>3</v>
      </c>
      <c r="D7" s="7">
        <v>871</v>
      </c>
      <c r="E7" s="26">
        <f>D7-39</f>
        <v>832</v>
      </c>
      <c r="F7" s="7">
        <v>648</v>
      </c>
      <c r="G7" s="29">
        <f t="shared" si="0"/>
        <v>0.77884615384615385</v>
      </c>
      <c r="H7" s="7">
        <v>917</v>
      </c>
      <c r="I7" s="26">
        <f>H7-45</f>
        <v>872</v>
      </c>
      <c r="J7" s="7">
        <v>612</v>
      </c>
      <c r="K7" s="10">
        <f t="shared" si="1"/>
        <v>0.70183486238532111</v>
      </c>
      <c r="L7" s="7">
        <v>139</v>
      </c>
      <c r="M7" s="26">
        <v>134</v>
      </c>
      <c r="N7" s="7">
        <v>100</v>
      </c>
      <c r="O7" s="10">
        <f t="shared" si="2"/>
        <v>0.74626865671641796</v>
      </c>
      <c r="P7" s="7">
        <v>1148</v>
      </c>
      <c r="Q7" s="26">
        <f>P7-75</f>
        <v>1073</v>
      </c>
      <c r="R7" s="7">
        <v>913</v>
      </c>
      <c r="S7" s="10">
        <f t="shared" si="3"/>
        <v>0.85088536812674742</v>
      </c>
      <c r="T7" s="7">
        <v>5804</v>
      </c>
      <c r="U7" s="26">
        <f>T7-410</f>
        <v>5394</v>
      </c>
      <c r="V7" s="7">
        <v>4028</v>
      </c>
      <c r="W7" s="10">
        <f t="shared" si="4"/>
        <v>0.74675565443084913</v>
      </c>
    </row>
    <row r="8" spans="3:23" x14ac:dyDescent="0.25">
      <c r="C8" s="13" t="s">
        <v>4</v>
      </c>
      <c r="D8" s="7">
        <v>843</v>
      </c>
      <c r="E8" s="26">
        <f>D8-58</f>
        <v>785</v>
      </c>
      <c r="F8" s="7">
        <v>576</v>
      </c>
      <c r="G8" s="29">
        <f t="shared" si="0"/>
        <v>0.73375796178343944</v>
      </c>
      <c r="H8" s="7">
        <v>974</v>
      </c>
      <c r="I8" s="26">
        <f>H8-47</f>
        <v>927</v>
      </c>
      <c r="J8" s="7">
        <v>581</v>
      </c>
      <c r="K8" s="10">
        <f t="shared" si="1"/>
        <v>0.62675296655879176</v>
      </c>
      <c r="L8" s="7">
        <v>127</v>
      </c>
      <c r="M8" s="26">
        <f>L8-8</f>
        <v>119</v>
      </c>
      <c r="N8" s="7">
        <v>79</v>
      </c>
      <c r="O8" s="10">
        <f t="shared" si="2"/>
        <v>0.66386554621848737</v>
      </c>
      <c r="P8" s="7">
        <v>1085</v>
      </c>
      <c r="Q8" s="26">
        <f>P8-75</f>
        <v>1010</v>
      </c>
      <c r="R8" s="7">
        <v>825</v>
      </c>
      <c r="S8" s="10">
        <f t="shared" si="3"/>
        <v>0.81683168316831678</v>
      </c>
      <c r="T8" s="13">
        <v>5647</v>
      </c>
      <c r="U8" s="13">
        <f>T8-404</f>
        <v>5243</v>
      </c>
      <c r="V8" s="13">
        <v>3709</v>
      </c>
      <c r="W8" s="10">
        <f t="shared" si="4"/>
        <v>0.70741941636467676</v>
      </c>
    </row>
    <row r="9" spans="3:23" x14ac:dyDescent="0.25">
      <c r="C9" s="13" t="s">
        <v>37</v>
      </c>
      <c r="D9" s="13">
        <v>790</v>
      </c>
      <c r="E9" s="13">
        <f>D9-43</f>
        <v>747</v>
      </c>
      <c r="F9" s="13">
        <v>568</v>
      </c>
      <c r="G9" s="29">
        <f t="shared" si="0"/>
        <v>0.76037483266398931</v>
      </c>
      <c r="H9" s="13">
        <v>831</v>
      </c>
      <c r="I9" s="13">
        <f>H9-56</f>
        <v>775</v>
      </c>
      <c r="J9" s="13">
        <v>553</v>
      </c>
      <c r="K9" s="10">
        <f t="shared" si="1"/>
        <v>0.71354838709677415</v>
      </c>
      <c r="L9" s="13">
        <v>138</v>
      </c>
      <c r="M9" s="13">
        <v>132</v>
      </c>
      <c r="N9" s="13">
        <v>85</v>
      </c>
      <c r="O9" s="10">
        <f t="shared" si="2"/>
        <v>0.64393939393939392</v>
      </c>
      <c r="P9" s="13">
        <v>990</v>
      </c>
      <c r="Q9" s="13">
        <f>P9-72</f>
        <v>918</v>
      </c>
      <c r="R9" s="13">
        <v>795</v>
      </c>
      <c r="S9" s="10">
        <f t="shared" si="3"/>
        <v>0.86601307189542487</v>
      </c>
      <c r="T9" s="13">
        <v>5256</v>
      </c>
      <c r="U9" s="13">
        <f>T9-409</f>
        <v>4847</v>
      </c>
      <c r="V9" s="13">
        <v>3549</v>
      </c>
      <c r="W9" s="10">
        <f t="shared" si="4"/>
        <v>0.73220548793067874</v>
      </c>
    </row>
    <row r="10" spans="3:23" x14ac:dyDescent="0.25">
      <c r="C10" s="7" t="s">
        <v>38</v>
      </c>
      <c r="D10" s="7">
        <v>836</v>
      </c>
      <c r="E10" s="26">
        <f>D10-60</f>
        <v>776</v>
      </c>
      <c r="F10" s="7">
        <v>560</v>
      </c>
      <c r="G10" s="29">
        <f t="shared" si="0"/>
        <v>0.72164948453608246</v>
      </c>
      <c r="H10" s="7">
        <v>940</v>
      </c>
      <c r="I10" s="26">
        <f>H10-69</f>
        <v>871</v>
      </c>
      <c r="J10" s="7">
        <v>592</v>
      </c>
      <c r="K10" s="10">
        <f t="shared" si="1"/>
        <v>0.67967853042479909</v>
      </c>
      <c r="L10" s="7">
        <v>127</v>
      </c>
      <c r="M10" s="26">
        <f>L10-5</f>
        <v>122</v>
      </c>
      <c r="N10" s="7">
        <v>85</v>
      </c>
      <c r="O10" s="10">
        <f t="shared" si="2"/>
        <v>0.69672131147540983</v>
      </c>
      <c r="P10" s="7">
        <v>960</v>
      </c>
      <c r="Q10" s="26">
        <f>P10-54</f>
        <v>906</v>
      </c>
      <c r="R10" s="7">
        <v>750</v>
      </c>
      <c r="S10" s="10">
        <f t="shared" si="3"/>
        <v>0.82781456953642385</v>
      </c>
      <c r="T10" s="7">
        <v>5121</v>
      </c>
      <c r="U10" s="26">
        <f>T10-400</f>
        <v>4721</v>
      </c>
      <c r="V10" s="7">
        <v>3373</v>
      </c>
      <c r="W10" s="10">
        <f t="shared" si="4"/>
        <v>0.71446727388265197</v>
      </c>
    </row>
    <row r="11" spans="3:23" x14ac:dyDescent="0.25">
      <c r="C11" s="12" t="s">
        <v>42</v>
      </c>
      <c r="D11" s="12">
        <v>715</v>
      </c>
      <c r="E11" s="20">
        <v>667</v>
      </c>
      <c r="F11" s="12">
        <v>461</v>
      </c>
      <c r="G11" s="32">
        <f>F11/E11</f>
        <v>0.69115442278860573</v>
      </c>
      <c r="H11" s="12">
        <v>857</v>
      </c>
      <c r="I11" s="20">
        <v>796</v>
      </c>
      <c r="J11" s="12">
        <v>525</v>
      </c>
      <c r="K11" s="32">
        <f>J11/I11</f>
        <v>0.65954773869346739</v>
      </c>
      <c r="L11" s="12">
        <v>123</v>
      </c>
      <c r="M11" s="20">
        <v>119</v>
      </c>
      <c r="N11" s="12">
        <v>76</v>
      </c>
      <c r="O11" s="32">
        <v>0.6179</v>
      </c>
      <c r="P11" s="12">
        <v>898</v>
      </c>
      <c r="Q11" s="20">
        <v>849</v>
      </c>
      <c r="R11" s="12">
        <v>678</v>
      </c>
      <c r="S11" s="32">
        <f>R11/P11</f>
        <v>0.75501113585746105</v>
      </c>
      <c r="T11" s="12">
        <v>4704</v>
      </c>
      <c r="U11" s="20">
        <v>4339</v>
      </c>
      <c r="V11" s="12">
        <v>2975</v>
      </c>
      <c r="W11" s="32">
        <f>V11/U11</f>
        <v>0.68564185296151192</v>
      </c>
    </row>
    <row r="12" spans="3:23" x14ac:dyDescent="0.25">
      <c r="C12" s="12"/>
      <c r="D12" s="12"/>
      <c r="E12" s="20"/>
      <c r="F12" s="12"/>
      <c r="G12" s="12"/>
      <c r="H12" s="12"/>
      <c r="I12" s="20"/>
      <c r="J12" s="12"/>
      <c r="K12" s="12"/>
      <c r="L12" s="12"/>
      <c r="M12" s="20"/>
      <c r="N12" s="12"/>
      <c r="O12" s="12"/>
      <c r="P12" s="12"/>
      <c r="Q12" s="20"/>
      <c r="R12" s="12"/>
      <c r="S12" s="12"/>
      <c r="T12" s="12"/>
      <c r="U12" s="20"/>
      <c r="V12" s="12"/>
      <c r="W12" s="12"/>
    </row>
    <row r="13" spans="3:23" x14ac:dyDescent="0.25">
      <c r="C13" s="12"/>
      <c r="D13" s="12"/>
      <c r="E13" s="20"/>
      <c r="F13" s="12"/>
      <c r="G13" s="12"/>
      <c r="H13" s="12"/>
      <c r="I13" s="20"/>
      <c r="J13" s="12"/>
      <c r="K13" s="12"/>
      <c r="L13" s="12"/>
      <c r="M13" s="20"/>
      <c r="N13" s="12"/>
      <c r="O13" s="12"/>
      <c r="P13" s="12"/>
      <c r="Q13" s="20"/>
      <c r="R13" s="12"/>
      <c r="S13" s="12"/>
      <c r="T13" s="12"/>
      <c r="U13" s="20"/>
      <c r="V13" s="12"/>
      <c r="W13" s="12"/>
    </row>
    <row r="14" spans="3:23" x14ac:dyDescent="0.25">
      <c r="C14" s="12"/>
      <c r="D14" s="12"/>
      <c r="E14" s="20"/>
      <c r="F14" s="12"/>
      <c r="G14" s="12"/>
      <c r="H14" s="12"/>
      <c r="I14" s="20"/>
      <c r="J14" s="12"/>
      <c r="K14" s="12"/>
      <c r="L14" s="12"/>
      <c r="M14" s="20"/>
      <c r="N14" s="12"/>
      <c r="O14" s="12"/>
      <c r="P14" s="12"/>
      <c r="Q14" s="20"/>
      <c r="R14" s="12"/>
      <c r="S14" s="12"/>
      <c r="T14" s="12"/>
      <c r="U14" s="20"/>
      <c r="V14" s="12"/>
      <c r="W14" s="12"/>
    </row>
    <row r="15" spans="3:23" x14ac:dyDescent="0.25">
      <c r="C15" s="12"/>
      <c r="D15" s="12"/>
      <c r="E15" s="20"/>
      <c r="F15" s="12"/>
      <c r="G15" s="12"/>
      <c r="H15" s="12"/>
      <c r="I15" s="20"/>
      <c r="J15" s="12"/>
      <c r="K15" s="12"/>
      <c r="L15" s="12"/>
      <c r="M15" s="20"/>
      <c r="N15" s="12"/>
      <c r="O15" s="12"/>
      <c r="P15" s="12"/>
      <c r="Q15" s="20"/>
      <c r="R15" s="12"/>
      <c r="S15" s="12"/>
      <c r="T15" s="12"/>
      <c r="U15" s="20"/>
      <c r="V15" s="12"/>
      <c r="W15" s="12"/>
    </row>
    <row r="16" spans="3:23" x14ac:dyDescent="0.25">
      <c r="C16" s="12"/>
      <c r="D16" s="12"/>
      <c r="E16" s="20"/>
      <c r="F16" s="12"/>
      <c r="G16" s="12"/>
      <c r="H16" s="12"/>
      <c r="I16" s="20"/>
      <c r="J16" s="12"/>
      <c r="K16" s="12"/>
      <c r="L16" s="12"/>
      <c r="M16" s="20"/>
      <c r="N16" s="12"/>
      <c r="O16" s="12"/>
      <c r="P16" s="12"/>
      <c r="Q16" s="20"/>
      <c r="R16" s="12"/>
      <c r="S16" s="12"/>
      <c r="T16" s="12"/>
      <c r="U16" s="20"/>
      <c r="V16" s="12"/>
      <c r="W16" s="12"/>
    </row>
    <row r="17" spans="3:23" x14ac:dyDescent="0.25">
      <c r="C17" s="12"/>
      <c r="D17" s="12"/>
      <c r="E17" s="20"/>
      <c r="F17" s="12"/>
      <c r="G17" s="12"/>
      <c r="H17" s="12"/>
      <c r="I17" s="20"/>
      <c r="J17" s="12"/>
      <c r="K17" s="12"/>
      <c r="L17" s="12"/>
      <c r="M17" s="20"/>
      <c r="N17" s="12"/>
      <c r="O17" s="12"/>
      <c r="P17" s="12"/>
      <c r="Q17" s="20"/>
      <c r="R17" s="12"/>
      <c r="S17" s="12"/>
      <c r="T17" s="12"/>
      <c r="U17" s="20"/>
      <c r="V17" s="12"/>
      <c r="W17" s="12"/>
    </row>
    <row r="18" spans="3:23" x14ac:dyDescent="0.25">
      <c r="C18" s="12"/>
      <c r="D18" s="12"/>
      <c r="E18" s="20"/>
      <c r="F18" s="12"/>
      <c r="G18" s="12"/>
      <c r="H18" s="12"/>
      <c r="I18" s="20"/>
      <c r="J18" s="12"/>
      <c r="K18" s="12"/>
      <c r="L18" s="12"/>
      <c r="M18" s="20"/>
      <c r="N18" s="12"/>
      <c r="O18" s="12"/>
      <c r="P18" s="12"/>
      <c r="Q18" s="20"/>
      <c r="R18" s="12"/>
      <c r="S18" s="12"/>
      <c r="T18" s="12"/>
      <c r="U18" s="20"/>
      <c r="V18" s="12"/>
      <c r="W18" s="12"/>
    </row>
    <row r="19" spans="3:23" x14ac:dyDescent="0.25">
      <c r="C19" s="12"/>
      <c r="D19" s="12"/>
      <c r="E19" s="20"/>
      <c r="F19" s="12"/>
      <c r="G19" s="12"/>
      <c r="H19" s="12"/>
      <c r="I19" s="20"/>
      <c r="J19" s="12"/>
      <c r="K19" s="12"/>
      <c r="L19" s="12"/>
      <c r="M19" s="20"/>
      <c r="N19" s="12"/>
      <c r="O19" s="12"/>
      <c r="P19" s="12"/>
      <c r="Q19" s="20"/>
      <c r="R19" s="12"/>
      <c r="S19" s="12"/>
      <c r="T19" s="12"/>
      <c r="U19" s="20"/>
      <c r="V19" s="12"/>
      <c r="W19" s="12"/>
    </row>
    <row r="20" spans="3:23" x14ac:dyDescent="0.25">
      <c r="C20" s="12"/>
      <c r="D20" s="12"/>
      <c r="E20" s="20"/>
      <c r="F20" s="12"/>
      <c r="G20" s="12"/>
      <c r="H20" s="12"/>
      <c r="I20" s="20"/>
      <c r="J20" s="12"/>
      <c r="K20" s="12"/>
      <c r="L20" s="12"/>
      <c r="M20" s="20"/>
      <c r="N20" s="12"/>
      <c r="O20" s="12"/>
      <c r="P20" s="12"/>
      <c r="Q20" s="20"/>
      <c r="R20" s="12"/>
      <c r="S20" s="12"/>
      <c r="T20" s="12"/>
      <c r="U20" s="20"/>
      <c r="V20" s="12"/>
      <c r="W20" s="12"/>
    </row>
    <row r="21" spans="3:23" x14ac:dyDescent="0.25">
      <c r="C21" s="12"/>
      <c r="D21" s="12"/>
      <c r="E21" s="20"/>
      <c r="F21" s="12"/>
      <c r="G21" s="12"/>
      <c r="H21" s="12"/>
      <c r="I21" s="20"/>
      <c r="J21" s="12"/>
      <c r="K21" s="12"/>
      <c r="L21" s="12"/>
      <c r="M21" s="20"/>
      <c r="N21" s="12"/>
      <c r="O21" s="12"/>
      <c r="P21" s="12"/>
      <c r="Q21" s="20"/>
      <c r="R21" s="12"/>
      <c r="S21" s="12"/>
      <c r="T21" s="12"/>
      <c r="U21" s="20"/>
      <c r="V21" s="12"/>
      <c r="W21" s="12"/>
    </row>
    <row r="22" spans="3:23" x14ac:dyDescent="0.25">
      <c r="C22" s="12"/>
      <c r="D22" s="12"/>
      <c r="E22" s="20"/>
      <c r="F22" s="12"/>
      <c r="G22" s="12"/>
      <c r="H22" s="12"/>
      <c r="I22" s="20"/>
      <c r="J22" s="12"/>
      <c r="K22" s="12"/>
      <c r="L22" s="12"/>
      <c r="M22" s="20"/>
      <c r="N22" s="12"/>
      <c r="O22" s="12"/>
      <c r="P22" s="12"/>
      <c r="Q22" s="20"/>
      <c r="R22" s="12"/>
      <c r="S22" s="12"/>
      <c r="T22" s="12"/>
      <c r="U22" s="20"/>
      <c r="V22" s="12"/>
      <c r="W22" s="12"/>
    </row>
    <row r="23" spans="3:23" x14ac:dyDescent="0.25">
      <c r="C23" s="12"/>
      <c r="D23" s="12"/>
      <c r="E23" s="20"/>
      <c r="F23" s="12"/>
      <c r="G23" s="12"/>
      <c r="H23" s="12"/>
      <c r="I23" s="20"/>
      <c r="J23" s="12"/>
      <c r="K23" s="12"/>
      <c r="L23" s="12"/>
      <c r="M23" s="20"/>
      <c r="N23" s="12"/>
      <c r="O23" s="12"/>
      <c r="P23" s="12"/>
      <c r="Q23" s="20"/>
      <c r="R23" s="12"/>
      <c r="S23" s="12"/>
      <c r="T23" s="12"/>
      <c r="U23" s="20"/>
      <c r="V23" s="12"/>
      <c r="W23" s="12"/>
    </row>
    <row r="24" spans="3:23" x14ac:dyDescent="0.25">
      <c r="C24" s="12"/>
      <c r="D24" s="12"/>
      <c r="E24" s="20"/>
      <c r="F24" s="12"/>
      <c r="G24" s="12"/>
      <c r="H24" s="12"/>
      <c r="I24" s="20"/>
      <c r="J24" s="12"/>
      <c r="K24" s="12"/>
      <c r="L24" s="12"/>
      <c r="M24" s="20"/>
      <c r="N24" s="12"/>
      <c r="O24" s="12"/>
      <c r="P24" s="12"/>
      <c r="Q24" s="20"/>
      <c r="R24" s="12"/>
      <c r="S24" s="12"/>
      <c r="T24" s="12"/>
      <c r="U24" s="20"/>
      <c r="V24" s="12"/>
      <c r="W24" s="12"/>
    </row>
    <row r="25" spans="3:23" x14ac:dyDescent="0.25">
      <c r="C25" s="12"/>
      <c r="D25" s="12"/>
      <c r="E25" s="20"/>
      <c r="F25" s="12"/>
      <c r="G25" s="12"/>
      <c r="H25" s="12"/>
      <c r="I25" s="20"/>
      <c r="J25" s="12"/>
      <c r="K25" s="12"/>
      <c r="L25" s="12"/>
      <c r="M25" s="20"/>
      <c r="N25" s="12"/>
      <c r="O25" s="12"/>
      <c r="P25" s="12"/>
      <c r="Q25" s="20"/>
      <c r="R25" s="12"/>
      <c r="S25" s="12"/>
      <c r="T25" s="12"/>
      <c r="U25" s="20"/>
      <c r="V25" s="12"/>
      <c r="W25" s="12"/>
    </row>
    <row r="26" spans="3:23" x14ac:dyDescent="0.25">
      <c r="C26" s="12"/>
      <c r="D26" s="12"/>
      <c r="E26" s="20"/>
      <c r="F26" s="12"/>
      <c r="G26" s="12"/>
      <c r="H26" s="12"/>
      <c r="I26" s="20"/>
      <c r="J26" s="12"/>
      <c r="K26" s="12"/>
      <c r="L26" s="12"/>
      <c r="M26" s="20"/>
      <c r="N26" s="12"/>
      <c r="O26" s="12"/>
      <c r="P26" s="12"/>
      <c r="Q26" s="20"/>
      <c r="R26" s="12"/>
      <c r="S26" s="12"/>
      <c r="T26" s="12"/>
      <c r="U26" s="20"/>
      <c r="V26" s="12"/>
      <c r="W26" s="12"/>
    </row>
    <row r="27" spans="3:23" x14ac:dyDescent="0.25">
      <c r="C27" s="12"/>
      <c r="D27" s="12"/>
      <c r="E27" s="20"/>
      <c r="F27" s="12"/>
      <c r="G27" s="12"/>
      <c r="H27" s="12"/>
      <c r="I27" s="20"/>
      <c r="J27" s="12"/>
      <c r="K27" s="12"/>
      <c r="L27" s="12"/>
      <c r="M27" s="20"/>
      <c r="N27" s="12"/>
      <c r="O27" s="12"/>
      <c r="P27" s="12"/>
      <c r="Q27" s="20"/>
      <c r="R27" s="12"/>
      <c r="S27" s="12"/>
      <c r="T27" s="12"/>
      <c r="U27" s="20"/>
      <c r="V27" s="12"/>
      <c r="W27" s="12"/>
    </row>
    <row r="28" spans="3:23" x14ac:dyDescent="0.25">
      <c r="C28" s="12"/>
      <c r="D28" s="12"/>
      <c r="E28" s="20"/>
      <c r="F28" s="12"/>
      <c r="G28" s="12"/>
      <c r="H28" s="12"/>
      <c r="I28" s="20"/>
      <c r="J28" s="12"/>
      <c r="K28" s="12"/>
      <c r="L28" s="12"/>
      <c r="M28" s="20"/>
      <c r="N28" s="12"/>
      <c r="O28" s="12"/>
      <c r="P28" s="12"/>
      <c r="Q28" s="20"/>
      <c r="R28" s="12"/>
      <c r="S28" s="12"/>
      <c r="T28" s="12"/>
      <c r="U28" s="20"/>
      <c r="V28" s="12"/>
      <c r="W28" s="12"/>
    </row>
    <row r="29" spans="3:23" x14ac:dyDescent="0.25">
      <c r="C29" s="12"/>
      <c r="D29" s="12"/>
      <c r="E29" s="20"/>
      <c r="F29" s="12"/>
      <c r="G29" s="12"/>
      <c r="H29" s="12"/>
      <c r="I29" s="20"/>
      <c r="J29" s="12"/>
      <c r="K29" s="12"/>
      <c r="L29" s="12"/>
      <c r="M29" s="20"/>
      <c r="N29" s="12"/>
      <c r="O29" s="12"/>
      <c r="P29" s="12"/>
      <c r="Q29" s="20"/>
      <c r="R29" s="12"/>
      <c r="S29" s="12"/>
      <c r="T29" s="12"/>
      <c r="U29" s="20"/>
      <c r="V29" s="12"/>
      <c r="W29" s="12"/>
    </row>
    <row r="30" spans="3:23" x14ac:dyDescent="0.25">
      <c r="C30" s="12"/>
      <c r="D30" s="12"/>
      <c r="E30" s="20"/>
      <c r="F30" s="12"/>
      <c r="G30" s="12"/>
      <c r="H30" s="12"/>
      <c r="I30" s="20"/>
      <c r="J30" s="12"/>
      <c r="K30" s="12"/>
      <c r="L30" s="12"/>
      <c r="M30" s="20"/>
      <c r="N30" s="12"/>
      <c r="O30" s="12"/>
      <c r="P30" s="12"/>
      <c r="Q30" s="20"/>
      <c r="R30" s="12"/>
      <c r="S30" s="12"/>
      <c r="T30" s="12"/>
      <c r="U30" s="20"/>
      <c r="V30" s="12"/>
      <c r="W30" s="12"/>
    </row>
    <row r="31" spans="3:23" x14ac:dyDescent="0.25">
      <c r="C31" s="12"/>
      <c r="D31" s="12"/>
      <c r="E31" s="20"/>
      <c r="F31" s="12"/>
      <c r="G31" s="12"/>
      <c r="H31" s="12"/>
      <c r="I31" s="20"/>
      <c r="J31" s="12"/>
      <c r="K31" s="12"/>
      <c r="L31" s="12"/>
      <c r="M31" s="20"/>
      <c r="N31" s="12"/>
      <c r="O31" s="12"/>
      <c r="P31" s="12"/>
      <c r="Q31" s="20"/>
      <c r="R31" s="12"/>
      <c r="S31" s="12"/>
      <c r="T31" s="12"/>
      <c r="U31" s="20"/>
      <c r="V31" s="12"/>
      <c r="W31" s="12"/>
    </row>
  </sheetData>
  <mergeCells count="6">
    <mergeCell ref="C2:W2"/>
    <mergeCell ref="T3:W3"/>
    <mergeCell ref="D3:G3"/>
    <mergeCell ref="H3:K3"/>
    <mergeCell ref="L3:O3"/>
    <mergeCell ref="P3:S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D8:AH15"/>
  <sheetViews>
    <sheetView topLeftCell="A8" workbookViewId="0">
      <selection activeCell="AE30" sqref="AE30"/>
    </sheetView>
  </sheetViews>
  <sheetFormatPr defaultColWidth="8.85546875" defaultRowHeight="15" x14ac:dyDescent="0.25"/>
  <cols>
    <col min="4" max="4" width="10" customWidth="1"/>
    <col min="5" max="5" width="11" customWidth="1"/>
    <col min="6" max="6" width="10" customWidth="1"/>
    <col min="8" max="8" width="11.28515625" customWidth="1"/>
    <col min="9" max="9" width="10.140625" customWidth="1"/>
    <col min="11" max="11" width="10.42578125" customWidth="1"/>
    <col min="12" max="12" width="9.85546875" customWidth="1"/>
    <col min="13" max="13" width="9.140625" customWidth="1"/>
    <col min="14" max="14" width="11.28515625" customWidth="1"/>
    <col min="15" max="15" width="10.42578125" customWidth="1"/>
    <col min="16" max="17" width="9.140625" customWidth="1"/>
    <col min="18" max="18" width="10.85546875" customWidth="1"/>
    <col min="20" max="20" width="10.42578125" customWidth="1"/>
    <col min="21" max="21" width="11.28515625" customWidth="1"/>
    <col min="23" max="23" width="10.85546875" customWidth="1"/>
    <col min="24" max="24" width="11.28515625" customWidth="1"/>
    <col min="26" max="26" width="10.42578125" customWidth="1"/>
    <col min="27" max="27" width="10.140625" customWidth="1"/>
    <col min="29" max="29" width="11.28515625" style="36" customWidth="1"/>
    <col min="30" max="30" width="10.42578125" customWidth="1"/>
    <col min="32" max="32" width="10.7109375" style="36" customWidth="1"/>
    <col min="33" max="33" width="11.42578125" customWidth="1"/>
  </cols>
  <sheetData>
    <row r="8" spans="4:34" ht="45" x14ac:dyDescent="0.25">
      <c r="D8" s="22" t="s">
        <v>22</v>
      </c>
      <c r="E8" s="46" t="s">
        <v>5</v>
      </c>
      <c r="F8" s="46"/>
      <c r="G8" s="46"/>
      <c r="H8" s="46"/>
      <c r="I8" s="46"/>
      <c r="J8" s="17"/>
      <c r="K8" s="46" t="s">
        <v>8</v>
      </c>
      <c r="L8" s="46"/>
      <c r="M8" s="46"/>
      <c r="N8" s="46"/>
      <c r="O8" s="46"/>
      <c r="P8" s="46"/>
      <c r="Q8" s="46" t="s">
        <v>6</v>
      </c>
      <c r="R8" s="46"/>
      <c r="S8" s="46"/>
      <c r="T8" s="46"/>
      <c r="U8" s="46"/>
      <c r="V8" s="46"/>
      <c r="W8" s="46" t="s">
        <v>7</v>
      </c>
      <c r="X8" s="46"/>
      <c r="Y8" s="46"/>
      <c r="Z8" s="46"/>
      <c r="AA8" s="46"/>
      <c r="AB8" s="46"/>
      <c r="AC8" s="46" t="s">
        <v>23</v>
      </c>
      <c r="AD8" s="46"/>
      <c r="AE8" s="46"/>
      <c r="AF8" s="46"/>
      <c r="AG8" s="46"/>
      <c r="AH8" s="46"/>
    </row>
    <row r="9" spans="4:34" ht="75" x14ac:dyDescent="0.25">
      <c r="D9" s="27"/>
      <c r="E9" s="27" t="s">
        <v>29</v>
      </c>
      <c r="F9" s="28" t="s">
        <v>30</v>
      </c>
      <c r="G9" s="28" t="s">
        <v>31</v>
      </c>
      <c r="H9" s="28" t="s">
        <v>32</v>
      </c>
      <c r="I9" s="28" t="s">
        <v>33</v>
      </c>
      <c r="J9" s="28" t="s">
        <v>34</v>
      </c>
      <c r="K9" s="27" t="s">
        <v>29</v>
      </c>
      <c r="L9" s="28" t="s">
        <v>30</v>
      </c>
      <c r="M9" s="28" t="s">
        <v>31</v>
      </c>
      <c r="N9" s="28" t="s">
        <v>32</v>
      </c>
      <c r="O9" s="28" t="s">
        <v>33</v>
      </c>
      <c r="P9" s="28" t="s">
        <v>34</v>
      </c>
      <c r="Q9" s="27" t="s">
        <v>29</v>
      </c>
      <c r="R9" s="28" t="s">
        <v>30</v>
      </c>
      <c r="S9" s="28" t="s">
        <v>31</v>
      </c>
      <c r="T9" s="28" t="s">
        <v>32</v>
      </c>
      <c r="U9" s="28" t="s">
        <v>33</v>
      </c>
      <c r="V9" s="28" t="s">
        <v>34</v>
      </c>
      <c r="W9" s="27" t="s">
        <v>29</v>
      </c>
      <c r="X9" s="28" t="s">
        <v>30</v>
      </c>
      <c r="Y9" s="28" t="s">
        <v>31</v>
      </c>
      <c r="Z9" s="28" t="s">
        <v>32</v>
      </c>
      <c r="AA9" s="28" t="s">
        <v>33</v>
      </c>
      <c r="AB9" s="28" t="s">
        <v>34</v>
      </c>
      <c r="AC9" s="27" t="s">
        <v>29</v>
      </c>
      <c r="AD9" s="28" t="s">
        <v>30</v>
      </c>
      <c r="AE9" s="28" t="s">
        <v>31</v>
      </c>
      <c r="AF9" s="28" t="s">
        <v>32</v>
      </c>
      <c r="AG9" s="28" t="s">
        <v>33</v>
      </c>
      <c r="AH9" s="28" t="s">
        <v>34</v>
      </c>
    </row>
    <row r="10" spans="4:34" x14ac:dyDescent="0.25">
      <c r="D10" s="43">
        <v>2016</v>
      </c>
      <c r="E10" s="43">
        <v>3020</v>
      </c>
      <c r="F10" s="43">
        <v>2290</v>
      </c>
      <c r="G10" s="10">
        <f>F10/E10</f>
        <v>0.75827814569536423</v>
      </c>
      <c r="H10" s="43">
        <v>2885</v>
      </c>
      <c r="I10" s="11">
        <v>2196</v>
      </c>
      <c r="J10" s="10">
        <f>I10/H10</f>
        <v>0.76117850953206234</v>
      </c>
      <c r="K10" s="43">
        <v>3401</v>
      </c>
      <c r="L10" s="43">
        <v>2225</v>
      </c>
      <c r="M10" s="10">
        <f>L10/K10</f>
        <v>0.65421934725080855</v>
      </c>
      <c r="N10" s="43">
        <v>3248</v>
      </c>
      <c r="O10" s="43">
        <v>2140</v>
      </c>
      <c r="P10" s="10">
        <f>O10/N10</f>
        <v>0.65886699507389157</v>
      </c>
      <c r="Q10" s="43">
        <v>411</v>
      </c>
      <c r="R10" s="43">
        <v>238</v>
      </c>
      <c r="S10" s="10">
        <f>R10/Q10</f>
        <v>0.57907542579075422</v>
      </c>
      <c r="T10" s="43">
        <v>392</v>
      </c>
      <c r="U10" s="43">
        <v>228</v>
      </c>
      <c r="V10" s="10">
        <f>U10/T10</f>
        <v>0.58163265306122447</v>
      </c>
      <c r="W10" s="43">
        <v>5279</v>
      </c>
      <c r="X10" s="43">
        <v>3979</v>
      </c>
      <c r="Y10" s="10">
        <f>X10/W10</f>
        <v>0.75374123887099831</v>
      </c>
      <c r="Z10" s="43">
        <v>4988</v>
      </c>
      <c r="AA10" s="43">
        <v>3772</v>
      </c>
      <c r="AB10" s="10">
        <f>AA10/Z10</f>
        <v>0.756214915797915</v>
      </c>
      <c r="AC10" s="37">
        <v>21010</v>
      </c>
      <c r="AD10" s="7">
        <v>15493</v>
      </c>
      <c r="AE10" s="10">
        <f>AD10/AC10</f>
        <v>0.73741075678248458</v>
      </c>
      <c r="AF10" s="37">
        <v>19890</v>
      </c>
      <c r="AG10" s="7">
        <v>14706</v>
      </c>
      <c r="AH10" s="10">
        <f>AG10/AF10</f>
        <v>0.73936651583710411</v>
      </c>
    </row>
    <row r="11" spans="4:34" x14ac:dyDescent="0.25">
      <c r="D11" s="43">
        <v>2017</v>
      </c>
      <c r="E11" s="43">
        <v>2936</v>
      </c>
      <c r="F11" s="43">
        <v>2185</v>
      </c>
      <c r="G11" s="10">
        <f t="shared" ref="G11:G14" si="0">F11/E11</f>
        <v>0.74420980926430513</v>
      </c>
      <c r="H11" s="43">
        <v>2794</v>
      </c>
      <c r="I11" s="11">
        <v>2079</v>
      </c>
      <c r="J11" s="10">
        <f t="shared" ref="J11:J14" si="1">I11/H11</f>
        <v>0.74409448818897639</v>
      </c>
      <c r="K11" s="43">
        <v>3515</v>
      </c>
      <c r="L11" s="43">
        <v>2209</v>
      </c>
      <c r="M11" s="10">
        <f t="shared" ref="M11:M14" si="2">L11/K11</f>
        <v>0.62844950213371265</v>
      </c>
      <c r="N11" s="43">
        <v>3359</v>
      </c>
      <c r="O11" s="43">
        <v>2135</v>
      </c>
      <c r="P11" s="10">
        <f t="shared" ref="P11:P15" si="3">O11/N11</f>
        <v>0.63560583506996127</v>
      </c>
      <c r="Q11" s="43">
        <v>460</v>
      </c>
      <c r="R11" s="43">
        <v>249</v>
      </c>
      <c r="S11" s="10">
        <f t="shared" ref="S11:S14" si="4">R11/Q11</f>
        <v>0.54130434782608694</v>
      </c>
      <c r="T11" s="43">
        <v>430</v>
      </c>
      <c r="U11" s="43">
        <v>237</v>
      </c>
      <c r="V11" s="10">
        <f t="shared" ref="V11:V14" si="5">U11/T11</f>
        <v>0.55116279069767438</v>
      </c>
      <c r="W11" s="43">
        <v>5286</v>
      </c>
      <c r="X11" s="43">
        <v>3835</v>
      </c>
      <c r="Y11" s="10">
        <f t="shared" ref="Y11:Y14" si="6">X11/W11</f>
        <v>0.72550132425274305</v>
      </c>
      <c r="Z11" s="43">
        <v>5007</v>
      </c>
      <c r="AA11" s="43">
        <v>3664</v>
      </c>
      <c r="AB11" s="10">
        <f t="shared" ref="AB11:AB15" si="7">AA11/Z11</f>
        <v>0.73177551428000798</v>
      </c>
      <c r="AC11" s="37">
        <v>20476</v>
      </c>
      <c r="AD11" s="7">
        <v>14785</v>
      </c>
      <c r="AE11" s="10">
        <f t="shared" ref="AE11:AE14" si="8">AD11/AC11</f>
        <v>0.72206485641726903</v>
      </c>
      <c r="AF11" s="37">
        <v>19472</v>
      </c>
      <c r="AG11" s="7">
        <v>14139</v>
      </c>
      <c r="AH11" s="10">
        <f t="shared" ref="AH11:AH14" si="9">AG11/AF11</f>
        <v>0.72611955628594904</v>
      </c>
    </row>
    <row r="12" spans="4:34" x14ac:dyDescent="0.25">
      <c r="D12" s="43">
        <v>2018</v>
      </c>
      <c r="E12" s="43">
        <v>2924</v>
      </c>
      <c r="F12" s="43">
        <v>2146</v>
      </c>
      <c r="G12" s="10">
        <f t="shared" si="0"/>
        <v>0.73392612859097128</v>
      </c>
      <c r="H12" s="43">
        <v>2818</v>
      </c>
      <c r="I12" s="11">
        <v>2092</v>
      </c>
      <c r="J12" s="10">
        <f t="shared" si="1"/>
        <v>0.74237047551454938</v>
      </c>
      <c r="K12" s="43">
        <v>3363</v>
      </c>
      <c r="L12" s="43">
        <v>2155</v>
      </c>
      <c r="M12" s="10">
        <f t="shared" si="2"/>
        <v>0.64079690752304486</v>
      </c>
      <c r="N12" s="43">
        <v>3359</v>
      </c>
      <c r="O12" s="43">
        <v>2114</v>
      </c>
      <c r="P12" s="10">
        <f t="shared" si="3"/>
        <v>0.62935397439714202</v>
      </c>
      <c r="Q12" s="43">
        <v>464</v>
      </c>
      <c r="R12" s="43">
        <v>231</v>
      </c>
      <c r="S12" s="10">
        <f t="shared" si="4"/>
        <v>0.49784482758620691</v>
      </c>
      <c r="T12" s="43">
        <v>431</v>
      </c>
      <c r="U12" s="43">
        <v>222</v>
      </c>
      <c r="V12" s="10">
        <f t="shared" si="5"/>
        <v>0.51508120649651967</v>
      </c>
      <c r="W12" s="43">
        <v>4894</v>
      </c>
      <c r="X12" s="43">
        <v>3598</v>
      </c>
      <c r="Y12" s="10">
        <f t="shared" si="6"/>
        <v>0.73518594196975884</v>
      </c>
      <c r="Z12" s="43">
        <v>4660</v>
      </c>
      <c r="AA12" s="43">
        <v>3456</v>
      </c>
      <c r="AB12" s="10">
        <f t="shared" si="7"/>
        <v>0.7416309012875536</v>
      </c>
      <c r="AC12" s="37">
        <v>19474</v>
      </c>
      <c r="AD12" s="7">
        <v>13988</v>
      </c>
      <c r="AE12" s="10">
        <f t="shared" si="8"/>
        <v>0.71829105473965282</v>
      </c>
      <c r="AF12" s="37">
        <v>18536</v>
      </c>
      <c r="AG12" s="7">
        <v>13397</v>
      </c>
      <c r="AH12" s="10">
        <f t="shared" si="9"/>
        <v>0.72275571860164001</v>
      </c>
    </row>
    <row r="13" spans="4:34" x14ac:dyDescent="0.25">
      <c r="D13" s="13">
        <v>2019</v>
      </c>
      <c r="E13" s="43">
        <f>2055+708</f>
        <v>2763</v>
      </c>
      <c r="F13" s="13">
        <v>2055</v>
      </c>
      <c r="G13" s="10">
        <f t="shared" si="0"/>
        <v>0.74375678610206297</v>
      </c>
      <c r="H13" s="43">
        <f>1990+666</f>
        <v>2656</v>
      </c>
      <c r="I13" s="15">
        <v>1990</v>
      </c>
      <c r="J13" s="10">
        <f t="shared" si="1"/>
        <v>0.74924698795180722</v>
      </c>
      <c r="K13" s="43">
        <f>2029+934</f>
        <v>2963</v>
      </c>
      <c r="L13" s="13">
        <v>2029</v>
      </c>
      <c r="M13" s="10">
        <f t="shared" si="2"/>
        <v>0.6847789402632467</v>
      </c>
      <c r="N13" s="43">
        <f>1974+885</f>
        <v>2859</v>
      </c>
      <c r="O13" s="13">
        <v>1974</v>
      </c>
      <c r="P13" s="10">
        <f t="shared" si="3"/>
        <v>0.69045120671563487</v>
      </c>
      <c r="Q13" s="43">
        <f>216+225</f>
        <v>441</v>
      </c>
      <c r="R13" s="43">
        <f>216</f>
        <v>216</v>
      </c>
      <c r="S13" s="10">
        <f t="shared" si="4"/>
        <v>0.48979591836734693</v>
      </c>
      <c r="T13" s="13">
        <v>401</v>
      </c>
      <c r="U13" s="13">
        <v>205</v>
      </c>
      <c r="V13" s="10">
        <f t="shared" si="5"/>
        <v>0.51122194513715713</v>
      </c>
      <c r="W13" s="43">
        <f>2811+1031</f>
        <v>3842</v>
      </c>
      <c r="X13" s="13">
        <v>2811</v>
      </c>
      <c r="Y13" s="10">
        <f t="shared" si="6"/>
        <v>0.73165018219677247</v>
      </c>
      <c r="Z13" s="43">
        <f>2656+948</f>
        <v>3604</v>
      </c>
      <c r="AA13" s="13">
        <v>2656</v>
      </c>
      <c r="AB13" s="10">
        <f t="shared" si="7"/>
        <v>0.73695893451720307</v>
      </c>
      <c r="AC13" s="37">
        <v>18118</v>
      </c>
      <c r="AD13" s="13">
        <v>13445</v>
      </c>
      <c r="AE13" s="10">
        <f t="shared" si="8"/>
        <v>0.74207969974610888</v>
      </c>
      <c r="AF13" s="37">
        <v>17159</v>
      </c>
      <c r="AG13" s="13">
        <v>12771</v>
      </c>
      <c r="AH13" s="10">
        <f t="shared" si="9"/>
        <v>0.74427414184975815</v>
      </c>
    </row>
    <row r="14" spans="4:34" x14ac:dyDescent="0.25">
      <c r="D14" s="13">
        <v>2020</v>
      </c>
      <c r="E14" s="43">
        <f>2247+592</f>
        <v>2839</v>
      </c>
      <c r="F14" s="13">
        <v>2247</v>
      </c>
      <c r="G14" s="10">
        <f t="shared" si="0"/>
        <v>0.79147587178584011</v>
      </c>
      <c r="H14" s="43">
        <f>2179+561</f>
        <v>2740</v>
      </c>
      <c r="I14" s="15">
        <v>2179</v>
      </c>
      <c r="J14" s="10">
        <f t="shared" si="1"/>
        <v>0.79525547445255473</v>
      </c>
      <c r="K14" s="43">
        <f>2328+886</f>
        <v>3214</v>
      </c>
      <c r="L14" s="43">
        <f>2328</f>
        <v>2328</v>
      </c>
      <c r="M14" s="10">
        <f t="shared" si="2"/>
        <v>0.72433105164903544</v>
      </c>
      <c r="N14" s="43">
        <f>2274+837</f>
        <v>3111</v>
      </c>
      <c r="O14" s="13">
        <v>2274</v>
      </c>
      <c r="P14" s="10">
        <f t="shared" si="3"/>
        <v>0.73095467695274829</v>
      </c>
      <c r="Q14" s="43">
        <f>230+181</f>
        <v>411</v>
      </c>
      <c r="R14" s="43">
        <v>230</v>
      </c>
      <c r="S14" s="10">
        <f t="shared" si="4"/>
        <v>0.55961070559610704</v>
      </c>
      <c r="T14" s="13">
        <f>220+163</f>
        <v>383</v>
      </c>
      <c r="U14" s="13">
        <v>220</v>
      </c>
      <c r="V14" s="10">
        <f t="shared" si="5"/>
        <v>0.5744125326370757</v>
      </c>
      <c r="W14" s="43">
        <f>2810+857</f>
        <v>3667</v>
      </c>
      <c r="X14" s="13">
        <v>2810</v>
      </c>
      <c r="Y14" s="10">
        <f t="shared" si="6"/>
        <v>0.7662939732751568</v>
      </c>
      <c r="Z14" s="43">
        <f>2714+793</f>
        <v>3507</v>
      </c>
      <c r="AA14" s="13">
        <v>2714</v>
      </c>
      <c r="AB14" s="10">
        <f t="shared" si="7"/>
        <v>0.77388080980895357</v>
      </c>
      <c r="AC14" s="37">
        <f>13290+4106</f>
        <v>17396</v>
      </c>
      <c r="AD14" s="13">
        <v>13290</v>
      </c>
      <c r="AE14" s="10">
        <f t="shared" si="8"/>
        <v>0.76396872844332031</v>
      </c>
      <c r="AF14" s="37">
        <f>12880+3869</f>
        <v>16749</v>
      </c>
      <c r="AG14" s="13">
        <v>12880</v>
      </c>
      <c r="AH14" s="10">
        <f t="shared" si="9"/>
        <v>0.76900113439608331</v>
      </c>
    </row>
    <row r="15" spans="4:34" x14ac:dyDescent="0.25">
      <c r="D15" s="13">
        <v>2021</v>
      </c>
      <c r="E15" s="42">
        <f>1818+600</f>
        <v>2418</v>
      </c>
      <c r="F15" s="13">
        <v>1818</v>
      </c>
      <c r="G15" s="14">
        <v>0.75190000000000001</v>
      </c>
      <c r="H15" s="42">
        <v>2374</v>
      </c>
      <c r="I15" s="13">
        <v>1791</v>
      </c>
      <c r="J15" s="32">
        <v>0.75439999999999996</v>
      </c>
      <c r="K15" s="42">
        <v>3045</v>
      </c>
      <c r="L15" s="13">
        <v>2168</v>
      </c>
      <c r="M15" s="32">
        <v>0.71199999999999997</v>
      </c>
      <c r="N15" s="13">
        <f>2132+846</f>
        <v>2978</v>
      </c>
      <c r="O15" s="13">
        <v>2132</v>
      </c>
      <c r="P15" s="14">
        <f t="shared" si="3"/>
        <v>0.71591672263263939</v>
      </c>
      <c r="Q15" s="42">
        <v>377</v>
      </c>
      <c r="R15" s="13">
        <v>181</v>
      </c>
      <c r="S15" s="32">
        <v>0.48010000000000003</v>
      </c>
      <c r="T15" s="42">
        <v>363</v>
      </c>
      <c r="U15" s="13">
        <v>176</v>
      </c>
      <c r="V15" s="32">
        <v>0.48480000000000001</v>
      </c>
      <c r="W15" s="42">
        <v>3263</v>
      </c>
      <c r="X15" s="13">
        <v>2390</v>
      </c>
      <c r="Y15" s="32">
        <v>0.73250000000000004</v>
      </c>
      <c r="Z15" s="42">
        <v>3176</v>
      </c>
      <c r="AA15" s="13">
        <v>2334</v>
      </c>
      <c r="AB15" s="14">
        <f t="shared" si="7"/>
        <v>0.73488664987405539</v>
      </c>
      <c r="AC15" s="36">
        <v>15590</v>
      </c>
      <c r="AD15" s="13">
        <v>11633</v>
      </c>
      <c r="AE15" s="41">
        <v>0.74619999999999997</v>
      </c>
      <c r="AF15" s="36">
        <v>15170</v>
      </c>
      <c r="AG15" s="13">
        <v>11366</v>
      </c>
      <c r="AH15" s="32">
        <v>0.74919999999999998</v>
      </c>
    </row>
  </sheetData>
  <mergeCells count="5">
    <mergeCell ref="E8:I8"/>
    <mergeCell ref="K8:P8"/>
    <mergeCell ref="Q8:V8"/>
    <mergeCell ref="W8:AB8"/>
    <mergeCell ref="AC8:AH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12"/>
  <sheetViews>
    <sheetView topLeftCell="B25" workbookViewId="0">
      <selection activeCell="P35" sqref="P35"/>
    </sheetView>
  </sheetViews>
  <sheetFormatPr defaultColWidth="8.85546875" defaultRowHeight="15" x14ac:dyDescent="0.25"/>
  <cols>
    <col min="4" max="5" width="11.140625" customWidth="1"/>
    <col min="6" max="6" width="10.140625" customWidth="1"/>
    <col min="8" max="8" width="11.28515625" customWidth="1"/>
    <col min="9" max="9" width="10.140625" customWidth="1"/>
    <col min="11" max="11" width="10.85546875" customWidth="1"/>
    <col min="12" max="12" width="10.28515625" customWidth="1"/>
    <col min="15" max="15" width="10" customWidth="1"/>
    <col min="18" max="18" width="10.42578125" customWidth="1"/>
    <col min="20" max="20" width="10.85546875" customWidth="1"/>
    <col min="21" max="21" width="10" customWidth="1"/>
    <col min="23" max="23" width="10.7109375" customWidth="1"/>
    <col min="24" max="24" width="10.42578125" customWidth="1"/>
    <col min="27" max="27" width="10.140625" customWidth="1"/>
    <col min="29" max="29" width="11.140625" customWidth="1"/>
    <col min="30" max="30" width="10.140625" customWidth="1"/>
    <col min="32" max="32" width="10.42578125" customWidth="1"/>
    <col min="33" max="33" width="10" customWidth="1"/>
  </cols>
  <sheetData>
    <row r="1" spans="1:34" x14ac:dyDescent="0.25">
      <c r="A1" t="s">
        <v>35</v>
      </c>
    </row>
    <row r="5" spans="1:34" ht="45" x14ac:dyDescent="0.25">
      <c r="D5" s="22" t="s">
        <v>36</v>
      </c>
      <c r="E5" s="46" t="s">
        <v>5</v>
      </c>
      <c r="F5" s="46"/>
      <c r="G5" s="46"/>
      <c r="H5" s="46"/>
      <c r="I5" s="46"/>
      <c r="J5" s="34"/>
      <c r="K5" s="46" t="s">
        <v>8</v>
      </c>
      <c r="L5" s="46"/>
      <c r="M5" s="46"/>
      <c r="N5" s="46"/>
      <c r="O5" s="46"/>
      <c r="P5" s="46"/>
      <c r="Q5" s="46" t="s">
        <v>6</v>
      </c>
      <c r="R5" s="46"/>
      <c r="S5" s="46"/>
      <c r="T5" s="46"/>
      <c r="U5" s="46"/>
      <c r="V5" s="46"/>
      <c r="W5" s="46" t="s">
        <v>7</v>
      </c>
      <c r="X5" s="46"/>
      <c r="Y5" s="46"/>
      <c r="Z5" s="46"/>
      <c r="AA5" s="46"/>
      <c r="AB5" s="46"/>
      <c r="AC5" s="46" t="s">
        <v>23</v>
      </c>
      <c r="AD5" s="46"/>
      <c r="AE5" s="46"/>
      <c r="AF5" s="46"/>
      <c r="AG5" s="46"/>
      <c r="AH5" s="46"/>
    </row>
    <row r="6" spans="1:34" ht="75" x14ac:dyDescent="0.25">
      <c r="D6" s="27"/>
      <c r="E6" s="27" t="s">
        <v>29</v>
      </c>
      <c r="F6" s="28" t="s">
        <v>30</v>
      </c>
      <c r="G6" s="28" t="s">
        <v>31</v>
      </c>
      <c r="H6" s="28" t="s">
        <v>32</v>
      </c>
      <c r="I6" s="28" t="s">
        <v>33</v>
      </c>
      <c r="J6" s="28" t="s">
        <v>34</v>
      </c>
      <c r="K6" s="27" t="s">
        <v>29</v>
      </c>
      <c r="L6" s="28" t="s">
        <v>30</v>
      </c>
      <c r="M6" s="28" t="s">
        <v>31</v>
      </c>
      <c r="N6" s="28" t="s">
        <v>32</v>
      </c>
      <c r="O6" s="28" t="s">
        <v>33</v>
      </c>
      <c r="P6" s="28" t="s">
        <v>34</v>
      </c>
      <c r="Q6" s="27" t="s">
        <v>29</v>
      </c>
      <c r="R6" s="28" t="s">
        <v>30</v>
      </c>
      <c r="S6" s="28" t="s">
        <v>31</v>
      </c>
      <c r="T6" s="28" t="s">
        <v>32</v>
      </c>
      <c r="U6" s="28" t="s">
        <v>33</v>
      </c>
      <c r="V6" s="28" t="s">
        <v>34</v>
      </c>
      <c r="W6" s="27" t="s">
        <v>29</v>
      </c>
      <c r="X6" s="28" t="s">
        <v>30</v>
      </c>
      <c r="Y6" s="28" t="s">
        <v>31</v>
      </c>
      <c r="Z6" s="28" t="s">
        <v>32</v>
      </c>
      <c r="AA6" s="28" t="s">
        <v>33</v>
      </c>
      <c r="AB6" s="28" t="s">
        <v>34</v>
      </c>
      <c r="AC6" s="27" t="s">
        <v>29</v>
      </c>
      <c r="AD6" s="28" t="s">
        <v>30</v>
      </c>
      <c r="AE6" s="28" t="s">
        <v>31</v>
      </c>
      <c r="AF6" s="28" t="s">
        <v>32</v>
      </c>
      <c r="AG6" s="28" t="s">
        <v>33</v>
      </c>
      <c r="AH6" s="28" t="s">
        <v>34</v>
      </c>
    </row>
    <row r="7" spans="1:34" x14ac:dyDescent="0.25">
      <c r="D7" s="35">
        <v>2017</v>
      </c>
      <c r="E7" s="35">
        <v>2692</v>
      </c>
      <c r="F7" s="35">
        <v>1963</v>
      </c>
      <c r="G7" s="10">
        <v>0.72899999999999998</v>
      </c>
      <c r="H7" s="35">
        <v>2591</v>
      </c>
      <c r="I7" s="11">
        <v>1895</v>
      </c>
      <c r="J7" s="10">
        <v>0.73099999999999998</v>
      </c>
      <c r="K7" s="35">
        <v>2998</v>
      </c>
      <c r="L7" s="35">
        <v>1988</v>
      </c>
      <c r="M7" s="10">
        <v>0.66300000000000003</v>
      </c>
      <c r="N7" s="35">
        <v>2892</v>
      </c>
      <c r="O7" s="35">
        <v>1934</v>
      </c>
      <c r="P7" s="10">
        <v>0.66900000000000004</v>
      </c>
      <c r="Q7" s="35">
        <v>367</v>
      </c>
      <c r="R7" s="35">
        <v>231</v>
      </c>
      <c r="S7" s="10">
        <f>R7/Q7</f>
        <v>0.6294277929155313</v>
      </c>
      <c r="T7" s="35">
        <v>339</v>
      </c>
      <c r="U7" s="35">
        <v>216</v>
      </c>
      <c r="V7" s="10">
        <f>U7/T7</f>
        <v>0.63716814159292035</v>
      </c>
      <c r="W7" s="35">
        <v>4704</v>
      </c>
      <c r="X7" s="35">
        <v>3446</v>
      </c>
      <c r="Y7" s="10">
        <f>X7/W7</f>
        <v>0.73256802721088432</v>
      </c>
      <c r="Z7" s="35">
        <v>4498</v>
      </c>
      <c r="AA7" s="35">
        <v>3306</v>
      </c>
      <c r="AB7" s="10">
        <f>AA7/Z7</f>
        <v>0.7349933303690529</v>
      </c>
      <c r="AC7" s="35">
        <v>18942</v>
      </c>
      <c r="AD7" s="35">
        <v>14061</v>
      </c>
      <c r="AE7" s="10">
        <f>AD7/AC7</f>
        <v>0.7423186569528033</v>
      </c>
      <c r="AF7" s="35">
        <v>18135</v>
      </c>
      <c r="AG7" s="35">
        <v>13516</v>
      </c>
      <c r="AH7" s="10">
        <f>AG7/AF7</f>
        <v>0.74529914529914532</v>
      </c>
    </row>
    <row r="8" spans="1:34" x14ac:dyDescent="0.25">
      <c r="D8" s="35">
        <v>2018</v>
      </c>
      <c r="E8" s="35">
        <v>2681</v>
      </c>
      <c r="F8" s="35">
        <v>1964</v>
      </c>
      <c r="G8" s="10">
        <v>0.73299999999999998</v>
      </c>
      <c r="H8" s="35">
        <v>2611</v>
      </c>
      <c r="I8" s="11">
        <v>1925</v>
      </c>
      <c r="J8" s="24">
        <v>0.73699999999999999</v>
      </c>
      <c r="K8" s="35">
        <v>3122</v>
      </c>
      <c r="L8" s="35">
        <v>2033</v>
      </c>
      <c r="M8" s="10">
        <v>0.65100000000000002</v>
      </c>
      <c r="N8" s="35">
        <v>3027</v>
      </c>
      <c r="O8" s="35">
        <v>1994</v>
      </c>
      <c r="P8" s="10">
        <v>0.65900000000000003</v>
      </c>
      <c r="Q8" s="35">
        <v>433</v>
      </c>
      <c r="R8" s="35">
        <v>262</v>
      </c>
      <c r="S8" s="10">
        <f t="shared" ref="S8:S12" si="0">R8/Q8</f>
        <v>0.605080831408776</v>
      </c>
      <c r="T8" s="35">
        <v>413</v>
      </c>
      <c r="U8" s="35">
        <v>248</v>
      </c>
      <c r="V8" s="10">
        <f t="shared" ref="V8:V12" si="1">U8/T8</f>
        <v>0.6004842615012107</v>
      </c>
      <c r="W8" s="35">
        <v>4741</v>
      </c>
      <c r="X8" s="35">
        <v>3419</v>
      </c>
      <c r="Y8" s="10">
        <f t="shared" ref="Y8:Y11" si="2">X8/W8</f>
        <v>0.72115587428812489</v>
      </c>
      <c r="Z8" s="35">
        <v>4593</v>
      </c>
      <c r="AA8" s="35">
        <v>3334</v>
      </c>
      <c r="AB8" s="10">
        <f t="shared" ref="AB8:AB11" si="3">AA8/Z8</f>
        <v>0.725887219682125</v>
      </c>
      <c r="AC8" s="35">
        <v>18570</v>
      </c>
      <c r="AD8" s="35">
        <v>13581</v>
      </c>
      <c r="AE8" s="10">
        <f t="shared" ref="AE8:AE11" si="4">AD8/AC8</f>
        <v>0.73134087237479806</v>
      </c>
      <c r="AF8" s="35">
        <v>17925</v>
      </c>
      <c r="AG8" s="35">
        <v>13163</v>
      </c>
      <c r="AH8" s="10">
        <f t="shared" ref="AH8:AH11" si="5">AG8/AF8</f>
        <v>0.73433751743375175</v>
      </c>
    </row>
    <row r="9" spans="1:34" x14ac:dyDescent="0.25">
      <c r="D9" s="35">
        <v>2019</v>
      </c>
      <c r="E9" s="35">
        <v>2514</v>
      </c>
      <c r="F9" s="35">
        <v>1884</v>
      </c>
      <c r="G9" s="10">
        <v>0.749</v>
      </c>
      <c r="H9" s="35">
        <v>2449</v>
      </c>
      <c r="I9" s="11">
        <v>1849</v>
      </c>
      <c r="J9" s="10">
        <v>0.755</v>
      </c>
      <c r="K9" s="35">
        <v>2822</v>
      </c>
      <c r="L9" s="35">
        <v>1810</v>
      </c>
      <c r="M9" s="10">
        <v>0.64100000000000001</v>
      </c>
      <c r="N9" s="35">
        <v>2747</v>
      </c>
      <c r="O9" s="35">
        <v>1784</v>
      </c>
      <c r="P9" s="10">
        <v>0.64900000000000002</v>
      </c>
      <c r="Q9" s="35">
        <v>384</v>
      </c>
      <c r="R9" s="35">
        <v>200</v>
      </c>
      <c r="S9" s="10">
        <f t="shared" si="0"/>
        <v>0.52083333333333337</v>
      </c>
      <c r="T9" s="35">
        <v>359</v>
      </c>
      <c r="U9" s="35">
        <v>191</v>
      </c>
      <c r="V9" s="10">
        <f t="shared" si="1"/>
        <v>0.53203342618384397</v>
      </c>
      <c r="W9" s="35">
        <v>4290</v>
      </c>
      <c r="X9" s="35">
        <v>3087</v>
      </c>
      <c r="Y9" s="10">
        <f t="shared" si="2"/>
        <v>0.71958041958041963</v>
      </c>
      <c r="Z9" s="35">
        <v>4132</v>
      </c>
      <c r="AA9" s="35">
        <v>3004</v>
      </c>
      <c r="AB9" s="10">
        <f t="shared" si="3"/>
        <v>0.72700871248789933</v>
      </c>
      <c r="AC9" s="35">
        <v>17302</v>
      </c>
      <c r="AD9" s="35">
        <v>12689</v>
      </c>
      <c r="AE9" s="10">
        <f t="shared" si="4"/>
        <v>0.73338342388163213</v>
      </c>
      <c r="AF9" s="35">
        <v>16634</v>
      </c>
      <c r="AG9" s="35">
        <v>12275</v>
      </c>
      <c r="AH9" s="10">
        <f t="shared" si="5"/>
        <v>0.73794637489479376</v>
      </c>
    </row>
    <row r="10" spans="1:34" x14ac:dyDescent="0.25">
      <c r="D10" s="13">
        <v>2020</v>
      </c>
      <c r="E10" s="35">
        <f>1727+624</f>
        <v>2351</v>
      </c>
      <c r="F10" s="13">
        <v>1727</v>
      </c>
      <c r="G10" s="14">
        <v>0.73459999999999992</v>
      </c>
      <c r="H10" s="35">
        <f>1693+606</f>
        <v>2299</v>
      </c>
      <c r="I10" s="15">
        <v>1693</v>
      </c>
      <c r="J10" s="10">
        <v>0.73640000000000005</v>
      </c>
      <c r="K10" s="35">
        <f>1832+804</f>
        <v>2636</v>
      </c>
      <c r="L10" s="13">
        <v>1832</v>
      </c>
      <c r="M10" s="14">
        <v>0.69499999999999995</v>
      </c>
      <c r="N10" s="35">
        <f>1801+777</f>
        <v>2578</v>
      </c>
      <c r="O10" s="13">
        <v>1801</v>
      </c>
      <c r="P10" s="10">
        <v>0.6986</v>
      </c>
      <c r="Q10" s="13">
        <v>363</v>
      </c>
      <c r="R10" s="13">
        <v>201</v>
      </c>
      <c r="S10" s="10">
        <f t="shared" si="0"/>
        <v>0.55371900826446285</v>
      </c>
      <c r="T10" s="35">
        <f>187+144</f>
        <v>331</v>
      </c>
      <c r="U10" s="13">
        <v>187</v>
      </c>
      <c r="V10" s="10">
        <f t="shared" si="1"/>
        <v>0.56495468277945615</v>
      </c>
      <c r="W10" s="35">
        <f>2621+894</f>
        <v>3515</v>
      </c>
      <c r="X10" s="13">
        <v>2621</v>
      </c>
      <c r="Y10" s="10">
        <f t="shared" si="2"/>
        <v>0.74566145092460878</v>
      </c>
      <c r="Z10" s="13">
        <f>2547+854</f>
        <v>3401</v>
      </c>
      <c r="AA10" s="13">
        <v>2547</v>
      </c>
      <c r="AB10" s="10">
        <f t="shared" si="3"/>
        <v>0.748897383122611</v>
      </c>
      <c r="AC10" s="35">
        <f>11874+4076</f>
        <v>15950</v>
      </c>
      <c r="AD10" s="13">
        <v>11874</v>
      </c>
      <c r="AE10" s="10">
        <f t="shared" si="4"/>
        <v>0.74445141065830722</v>
      </c>
      <c r="AF10" s="13">
        <f>11435+3906</f>
        <v>15341</v>
      </c>
      <c r="AG10" s="13">
        <v>11435</v>
      </c>
      <c r="AH10" s="10">
        <f t="shared" si="5"/>
        <v>0.7453881754774786</v>
      </c>
    </row>
    <row r="11" spans="1:34" x14ac:dyDescent="0.25">
      <c r="D11" s="13">
        <v>2021</v>
      </c>
      <c r="E11" s="13">
        <v>2429</v>
      </c>
      <c r="F11" s="13">
        <v>1928</v>
      </c>
      <c r="G11" s="32">
        <v>0.79369999999999996</v>
      </c>
      <c r="H11" s="13">
        <v>2391</v>
      </c>
      <c r="I11" s="15">
        <v>1907</v>
      </c>
      <c r="J11" s="32">
        <v>0.79759999999999998</v>
      </c>
      <c r="K11" s="13">
        <v>2841</v>
      </c>
      <c r="L11" s="13">
        <v>2058</v>
      </c>
      <c r="M11" s="32">
        <v>0.72440000000000004</v>
      </c>
      <c r="N11" s="13">
        <v>2762</v>
      </c>
      <c r="O11" s="13">
        <v>2022</v>
      </c>
      <c r="P11" s="32">
        <v>0.73209999999999997</v>
      </c>
      <c r="Q11" s="13">
        <v>332</v>
      </c>
      <c r="R11" s="13">
        <v>194</v>
      </c>
      <c r="S11" s="10">
        <f t="shared" si="0"/>
        <v>0.58433734939759041</v>
      </c>
      <c r="T11" s="13">
        <v>306</v>
      </c>
      <c r="U11" s="13">
        <v>180</v>
      </c>
      <c r="V11" s="10">
        <f t="shared" si="1"/>
        <v>0.58823529411764708</v>
      </c>
      <c r="W11" s="13">
        <v>3288</v>
      </c>
      <c r="X11" s="13">
        <v>2528</v>
      </c>
      <c r="Y11" s="10">
        <f t="shared" si="2"/>
        <v>0.76885644768856443</v>
      </c>
      <c r="Z11" s="13">
        <v>3172</v>
      </c>
      <c r="AA11" s="13">
        <v>2462</v>
      </c>
      <c r="AB11" s="10">
        <f t="shared" si="3"/>
        <v>0.77616645649432536</v>
      </c>
      <c r="AC11" s="13">
        <v>15244</v>
      </c>
      <c r="AD11" s="13">
        <v>11892</v>
      </c>
      <c r="AE11" s="10">
        <f t="shared" si="4"/>
        <v>0.78011020729467329</v>
      </c>
      <c r="AF11" s="33">
        <f>11625+3177</f>
        <v>14802</v>
      </c>
      <c r="AG11" s="13">
        <v>11625</v>
      </c>
      <c r="AH11" s="10">
        <f t="shared" si="5"/>
        <v>0.78536684231860554</v>
      </c>
    </row>
    <row r="12" spans="1:34" x14ac:dyDescent="0.25">
      <c r="D12" s="13">
        <v>2022</v>
      </c>
      <c r="E12" s="39">
        <v>2096</v>
      </c>
      <c r="F12" s="13">
        <v>1606</v>
      </c>
      <c r="G12" s="32">
        <f>F12/E12</f>
        <v>0.76622137404580148</v>
      </c>
      <c r="H12" s="39">
        <f>1591+481</f>
        <v>2072</v>
      </c>
      <c r="I12" s="39">
        <f>1591</f>
        <v>1591</v>
      </c>
      <c r="J12" s="32">
        <f>I12/H12</f>
        <v>0.7678571428571429</v>
      </c>
      <c r="K12" s="39">
        <f>1849+704</f>
        <v>2553</v>
      </c>
      <c r="L12" s="13">
        <v>1849</v>
      </c>
      <c r="M12" s="32">
        <f>L12/K12</f>
        <v>0.72424598511555038</v>
      </c>
      <c r="N12" s="39">
        <f>1842+682</f>
        <v>2524</v>
      </c>
      <c r="O12" s="39">
        <f>1842</f>
        <v>1842</v>
      </c>
      <c r="P12" s="32">
        <f>O12/N12</f>
        <v>0.72979397781299526</v>
      </c>
      <c r="Q12" s="39">
        <v>335</v>
      </c>
      <c r="R12" s="13">
        <v>200</v>
      </c>
      <c r="S12" s="14">
        <f t="shared" si="0"/>
        <v>0.59701492537313428</v>
      </c>
      <c r="T12" s="39">
        <v>325</v>
      </c>
      <c r="U12" s="13">
        <v>197</v>
      </c>
      <c r="V12" s="14">
        <f t="shared" si="1"/>
        <v>0.60615384615384615</v>
      </c>
      <c r="W12" s="39">
        <f>2059+728</f>
        <v>2787</v>
      </c>
      <c r="X12" s="13">
        <v>2059</v>
      </c>
      <c r="Y12" s="14">
        <f>X12/W12</f>
        <v>0.73878722640832439</v>
      </c>
      <c r="Z12" s="39">
        <f>2029+707</f>
        <v>2736</v>
      </c>
      <c r="AA12" s="39">
        <f>2029</f>
        <v>2029</v>
      </c>
      <c r="AB12" s="14">
        <f>AA12/Z12</f>
        <v>0.74159356725146197</v>
      </c>
      <c r="AC12" s="13">
        <f>10450+3145</f>
        <v>13595</v>
      </c>
      <c r="AD12" s="13">
        <v>10450</v>
      </c>
      <c r="AE12" s="14">
        <f>AD12/AC12</f>
        <v>0.76866495034939319</v>
      </c>
      <c r="AF12" s="39">
        <v>13286</v>
      </c>
      <c r="AG12" s="13">
        <v>10248</v>
      </c>
      <c r="AH12" s="14">
        <f>AG12/AF12</f>
        <v>0.7713382507903056</v>
      </c>
    </row>
  </sheetData>
  <mergeCells count="5">
    <mergeCell ref="E5:I5"/>
    <mergeCell ref="K5:P5"/>
    <mergeCell ref="Q5:V5"/>
    <mergeCell ref="W5:AB5"/>
    <mergeCell ref="AC5:A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Degrees and Certificates Earned</vt:lpstr>
      <vt:lpstr>Cohort Grad Rates</vt:lpstr>
      <vt:lpstr>Transfers to UH 4 Year Institut</vt:lpstr>
      <vt:lpstr>Cohort Transfer</vt:lpstr>
      <vt:lpstr>Fall to Subsequent Fall Re</vt:lpstr>
      <vt:lpstr>Fall To Spring Reenrollments</vt:lpstr>
      <vt:lpstr>Fall Course Completion</vt:lpstr>
      <vt:lpstr>Spring Course Completions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Kiyabu</dc:creator>
  <cp:lastModifiedBy>kiyabus</cp:lastModifiedBy>
  <cp:lastPrinted>2020-03-24T21:47:05Z</cp:lastPrinted>
  <dcterms:created xsi:type="dcterms:W3CDTF">2020-03-24T18:13:50Z</dcterms:created>
  <dcterms:modified xsi:type="dcterms:W3CDTF">2022-11-03T22:02:15Z</dcterms:modified>
</cp:coreProperties>
</file>